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environmentnswgov.sharepoint.com/sites/MST_DPE_EnergyandResourcesPolicy/Shared Documents/02. Energy Policy Framework/08. Published Documents 2024/Tools/"/>
    </mc:Choice>
  </mc:AlternateContent>
  <xr:revisionPtr revIDLastSave="0" documentId="8_{BAA2B201-8CE1-448C-823B-026DA253BC1A}" xr6:coauthVersionLast="47" xr6:coauthVersionMax="47" xr10:uidLastSave="{00000000-0000-0000-0000-000000000000}"/>
  <workbookProtection workbookAlgorithmName="SHA-512" workbookHashValue="6Yh4ZVBSAl2sm78Os4L0zpJPJYH4+UOOycH+llx8Uq1D1bkz07ztR0PHdZSGRQEN8Lmti5Q4HB4npsGo/JQSKg==" workbookSaltValue="wyKvUWqTznRLTEJ2l+XcXw==" workbookSpinCount="100000" lockStructure="1"/>
  <bookViews>
    <workbookView xWindow="-120" yWindow="-120" windowWidth="51840" windowHeight="21240" xr2:uid="{922564D1-E900-48FE-A85B-B99BB4D0B030}"/>
  </bookViews>
  <sheets>
    <sheet name="HOW TO USE" sheetId="8" r:id="rId1"/>
    <sheet name="CALCULATOR" sheetId="5" r:id="rId2"/>
    <sheet name="ASSUMPTIONS 1" sheetId="6" r:id="rId3"/>
    <sheet name="ASSUMPTIONS 2"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6" l="1"/>
  <c r="F47" i="6"/>
  <c r="L107" i="7"/>
  <c r="N107" i="7" s="1"/>
  <c r="N108" i="7" s="1"/>
  <c r="I108" i="7"/>
  <c r="G65" i="6"/>
  <c r="G66" i="6"/>
  <c r="G67" i="6"/>
  <c r="G68" i="6"/>
  <c r="G69" i="6"/>
  <c r="P70" i="6"/>
  <c r="P69" i="6"/>
  <c r="P68" i="6"/>
  <c r="P67" i="6"/>
  <c r="P66" i="6"/>
  <c r="P65" i="6"/>
  <c r="P64" i="6"/>
  <c r="N65" i="6"/>
  <c r="N66" i="6"/>
  <c r="N67" i="6"/>
  <c r="N68" i="6"/>
  <c r="N69" i="6"/>
  <c r="N70" i="6"/>
  <c r="N64" i="6"/>
  <c r="G11" i="6"/>
  <c r="F27" i="6"/>
  <c r="F30" i="6" s="1"/>
  <c r="E47" i="6" l="1"/>
  <c r="E9" i="5" l="1"/>
  <c r="M43" i="7" l="1"/>
  <c r="D48" i="7"/>
  <c r="D35" i="7"/>
  <c r="M96" i="7" l="1"/>
  <c r="L96" i="7"/>
  <c r="M80" i="7"/>
  <c r="L80" i="7"/>
  <c r="L74" i="7"/>
  <c r="M74" i="7"/>
  <c r="L54" i="7"/>
  <c r="L5" i="5"/>
  <c r="F6" i="6" s="1"/>
  <c r="L6" i="5"/>
  <c r="L7" i="5"/>
  <c r="L8" i="5"/>
  <c r="L9" i="5"/>
  <c r="L10" i="5"/>
  <c r="L11" i="5"/>
  <c r="L12" i="5"/>
  <c r="L13" i="5"/>
  <c r="L4" i="5"/>
  <c r="F32" i="6" s="1"/>
  <c r="F33" i="6" s="1"/>
  <c r="F34" i="6" s="1"/>
  <c r="F12" i="6"/>
  <c r="F13" i="6" s="1"/>
  <c r="F36" i="6"/>
  <c r="F16" i="6"/>
  <c r="F8" i="6"/>
  <c r="F7" i="6"/>
  <c r="F14" i="6" l="1"/>
  <c r="I13" i="6"/>
  <c r="N96" i="7"/>
  <c r="N80" i="7"/>
  <c r="N74" i="7"/>
  <c r="F28" i="6"/>
  <c r="F31" i="6" s="1"/>
  <c r="I65" i="6"/>
  <c r="I66" i="6"/>
  <c r="I67" i="6"/>
  <c r="I68" i="6"/>
  <c r="I69" i="6"/>
  <c r="I70" i="6"/>
  <c r="I71" i="6"/>
  <c r="I64" i="6"/>
  <c r="G64" i="6"/>
  <c r="N71" i="6"/>
  <c r="D52" i="7" l="1"/>
  <c r="D39" i="7"/>
  <c r="B78" i="7" l="1"/>
  <c r="C78" i="7" s="1"/>
  <c r="F21" i="6" l="1"/>
  <c r="F20" i="6"/>
  <c r="G13" i="6"/>
  <c r="I12" i="6"/>
  <c r="F38" i="6"/>
  <c r="J13" i="6" l="1"/>
  <c r="L103" i="7"/>
  <c r="O104" i="7" s="1"/>
  <c r="L102" i="7"/>
  <c r="M101" i="7"/>
  <c r="L101" i="7"/>
  <c r="M103" i="7"/>
  <c r="M102" i="7"/>
  <c r="N101" i="7" l="1"/>
  <c r="F23" i="6"/>
  <c r="I23" i="6" s="1"/>
  <c r="F22" i="6"/>
  <c r="F39" i="6"/>
  <c r="I38" i="6"/>
  <c r="N103" i="7"/>
  <c r="N102" i="7"/>
  <c r="L11" i="7"/>
  <c r="F25" i="6" l="1"/>
  <c r="F24" i="6" s="1"/>
  <c r="F26" i="6"/>
  <c r="I21" i="6"/>
  <c r="N104" i="7"/>
  <c r="J47" i="6"/>
  <c r="F50" i="6"/>
  <c r="J50" i="6" s="1"/>
  <c r="J49" i="6"/>
  <c r="J48" i="6"/>
  <c r="H10" i="6"/>
  <c r="M95" i="7"/>
  <c r="M97" i="7"/>
  <c r="L97" i="7"/>
  <c r="M98" i="7"/>
  <c r="L98" i="7"/>
  <c r="O99" i="7" s="1"/>
  <c r="L95" i="7"/>
  <c r="I35" i="6"/>
  <c r="F37" i="6"/>
  <c r="I32" i="6"/>
  <c r="G29" i="6"/>
  <c r="J29" i="6" s="1"/>
  <c r="D28" i="6"/>
  <c r="D53" i="7"/>
  <c r="D61" i="7"/>
  <c r="D66" i="7" s="1"/>
  <c r="D64" i="7"/>
  <c r="D65" i="7" s="1"/>
  <c r="M91" i="7"/>
  <c r="M92" i="7"/>
  <c r="L92" i="7"/>
  <c r="O93" i="7" s="1"/>
  <c r="M90" i="7"/>
  <c r="L90" i="7"/>
  <c r="H20" i="6"/>
  <c r="H22" i="6" s="1"/>
  <c r="D16" i="6"/>
  <c r="M86" i="7"/>
  <c r="M87" i="7"/>
  <c r="L87" i="7"/>
  <c r="O88" i="7" s="1"/>
  <c r="L86" i="7"/>
  <c r="M85" i="7"/>
  <c r="L85" i="7"/>
  <c r="L40" i="7"/>
  <c r="F9" i="6"/>
  <c r="I9" i="6" s="1"/>
  <c r="L81" i="7"/>
  <c r="M82" i="7"/>
  <c r="L82" i="7"/>
  <c r="M81" i="7"/>
  <c r="M79" i="7"/>
  <c r="L79" i="7"/>
  <c r="M76" i="7"/>
  <c r="L76" i="7"/>
  <c r="M75" i="7"/>
  <c r="L75" i="7"/>
  <c r="O77" i="7" s="1" a="1"/>
  <c r="O77" i="7" s="1"/>
  <c r="M73" i="7"/>
  <c r="L73" i="7"/>
  <c r="L39" i="7"/>
  <c r="O41" i="7" s="1" a="1"/>
  <c r="O41" i="7" s="1"/>
  <c r="I6" i="6"/>
  <c r="L4" i="7"/>
  <c r="F5" i="6"/>
  <c r="I5" i="6" s="1"/>
  <c r="M72" i="7"/>
  <c r="L72" i="7"/>
  <c r="M69" i="7"/>
  <c r="L69" i="7"/>
  <c r="M68" i="7"/>
  <c r="L68" i="7"/>
  <c r="M67" i="7"/>
  <c r="L67" i="7"/>
  <c r="O70" i="7" s="1"/>
  <c r="M66" i="7"/>
  <c r="L66" i="7"/>
  <c r="M65" i="7"/>
  <c r="L65" i="7"/>
  <c r="M64" i="7"/>
  <c r="L64" i="7"/>
  <c r="M61" i="7"/>
  <c r="L61" i="7"/>
  <c r="M60" i="7"/>
  <c r="L60" i="7"/>
  <c r="O62" i="7" s="1"/>
  <c r="M59" i="7"/>
  <c r="L59" i="7"/>
  <c r="M56" i="7"/>
  <c r="L56" i="7"/>
  <c r="M55" i="7"/>
  <c r="L55" i="7"/>
  <c r="M54" i="7"/>
  <c r="M53" i="7"/>
  <c r="L53" i="7"/>
  <c r="M50" i="7"/>
  <c r="L50" i="7"/>
  <c r="M49" i="7"/>
  <c r="L49" i="7"/>
  <c r="M48" i="7"/>
  <c r="M45" i="7"/>
  <c r="L45" i="7"/>
  <c r="M44" i="7"/>
  <c r="L44" i="7"/>
  <c r="M40" i="7"/>
  <c r="M39" i="7"/>
  <c r="M38" i="7"/>
  <c r="L38" i="7"/>
  <c r="L37" i="7"/>
  <c r="M37" i="7"/>
  <c r="M34" i="7"/>
  <c r="L34" i="7"/>
  <c r="M33" i="7"/>
  <c r="L33" i="7"/>
  <c r="O35" i="7" s="1"/>
  <c r="M32" i="7"/>
  <c r="L32" i="7"/>
  <c r="M31" i="7"/>
  <c r="L31" i="7"/>
  <c r="M30" i="7"/>
  <c r="L30" i="7"/>
  <c r="M27" i="7"/>
  <c r="L27" i="7"/>
  <c r="M26" i="7"/>
  <c r="L26" i="7"/>
  <c r="M25" i="7"/>
  <c r="L25" i="7"/>
  <c r="M24" i="7"/>
  <c r="L24" i="7"/>
  <c r="M23" i="7"/>
  <c r="L23" i="7"/>
  <c r="M22" i="7"/>
  <c r="L22" i="7"/>
  <c r="M18" i="7"/>
  <c r="L18" i="7"/>
  <c r="M17" i="7"/>
  <c r="L17" i="7"/>
  <c r="M16" i="7"/>
  <c r="L16" i="7"/>
  <c r="M15" i="7"/>
  <c r="L15" i="7"/>
  <c r="M14" i="7"/>
  <c r="L14" i="7"/>
  <c r="M11" i="7"/>
  <c r="M10" i="7"/>
  <c r="L10" i="7"/>
  <c r="M9" i="7"/>
  <c r="L9" i="7"/>
  <c r="M8" i="7"/>
  <c r="L8" i="7"/>
  <c r="M7" i="7"/>
  <c r="L7" i="7"/>
  <c r="M4" i="7"/>
  <c r="O83" i="7" l="1" a="1"/>
  <c r="O83" i="7" s="1"/>
  <c r="J37" i="6"/>
  <c r="N33" i="7"/>
  <c r="I28" i="6"/>
  <c r="N16" i="7"/>
  <c r="N97" i="7"/>
  <c r="E51" i="6"/>
  <c r="J51" i="6" s="1"/>
  <c r="F10" i="6"/>
  <c r="F11" i="6" s="1"/>
  <c r="N92" i="7"/>
  <c r="N87" i="7"/>
  <c r="N82" i="7"/>
  <c r="N81" i="7"/>
  <c r="N95" i="7"/>
  <c r="N98" i="7"/>
  <c r="F29" i="6"/>
  <c r="N90" i="7"/>
  <c r="D69" i="7"/>
  <c r="D70" i="7" s="1"/>
  <c r="L91" i="7" s="1"/>
  <c r="N86" i="7"/>
  <c r="N54" i="7"/>
  <c r="N85" i="7"/>
  <c r="N56" i="7"/>
  <c r="N40" i="7"/>
  <c r="N79" i="7"/>
  <c r="N64" i="7"/>
  <c r="N34" i="7"/>
  <c r="N50" i="7"/>
  <c r="N73" i="7"/>
  <c r="N75" i="7"/>
  <c r="N27" i="7"/>
  <c r="N76" i="7"/>
  <c r="N26" i="7"/>
  <c r="N68" i="7"/>
  <c r="N49" i="7"/>
  <c r="N9" i="7"/>
  <c r="N65" i="7"/>
  <c r="N14" i="7"/>
  <c r="N15" i="7"/>
  <c r="N53" i="7"/>
  <c r="N17" i="7"/>
  <c r="N69" i="7"/>
  <c r="N18" i="7"/>
  <c r="N31" i="7"/>
  <c r="N72" i="7"/>
  <c r="N61" i="7"/>
  <c r="N67" i="7"/>
  <c r="N38" i="7"/>
  <c r="N7" i="7"/>
  <c r="N39" i="7"/>
  <c r="N22" i="7"/>
  <c r="N11" i="7"/>
  <c r="N66" i="7"/>
  <c r="N8" i="7"/>
  <c r="N23" i="7"/>
  <c r="N32" i="7"/>
  <c r="N59" i="7"/>
  <c r="N60" i="7"/>
  <c r="D40" i="7"/>
  <c r="D43" i="7" s="1"/>
  <c r="D44" i="7" s="1"/>
  <c r="L43" i="7" s="1"/>
  <c r="N43" i="7" s="1"/>
  <c r="N24" i="7"/>
  <c r="N44" i="7"/>
  <c r="N10" i="7"/>
  <c r="N55" i="7"/>
  <c r="N30" i="7"/>
  <c r="N25" i="7"/>
  <c r="N45" i="7"/>
  <c r="N4" i="7"/>
  <c r="N5" i="7" s="1"/>
  <c r="D56" i="7"/>
  <c r="D57" i="7" s="1"/>
  <c r="L48" i="7" s="1"/>
  <c r="N48" i="7" s="1"/>
  <c r="N37" i="7"/>
  <c r="I7" i="6"/>
  <c r="N91" i="7" l="1"/>
  <c r="N93" i="7" s="1"/>
  <c r="G22" i="6" s="1"/>
  <c r="N99" i="7"/>
  <c r="N83" i="7"/>
  <c r="N77" i="7"/>
  <c r="F69" i="6"/>
  <c r="J69" i="6" s="1"/>
  <c r="F68" i="6"/>
  <c r="J68" i="6" s="1"/>
  <c r="F67" i="6"/>
  <c r="J67" i="6" s="1"/>
  <c r="F66" i="6"/>
  <c r="J66" i="6" s="1"/>
  <c r="F65" i="6"/>
  <c r="J65" i="6" s="1"/>
  <c r="F64" i="6"/>
  <c r="J64" i="6" s="1"/>
  <c r="F15" i="6"/>
  <c r="I27" i="6"/>
  <c r="J30" i="6"/>
  <c r="I8" i="6"/>
  <c r="I39" i="6"/>
  <c r="I10" i="6"/>
  <c r="I11" i="6"/>
  <c r="J11" i="6" s="1"/>
  <c r="G8" i="6"/>
  <c r="J34" i="6"/>
  <c r="I33" i="6"/>
  <c r="I20" i="6"/>
  <c r="F19" i="6"/>
  <c r="G5" i="6"/>
  <c r="J5" i="6" s="1"/>
  <c r="N88" i="7"/>
  <c r="G20" i="6" s="1"/>
  <c r="N51" i="7"/>
  <c r="G33" i="6" s="1"/>
  <c r="N62" i="7"/>
  <c r="N41" i="7"/>
  <c r="G9" i="6" s="1"/>
  <c r="J9" i="6" s="1"/>
  <c r="N57" i="7"/>
  <c r="N70" i="7"/>
  <c r="G28" i="6" s="1"/>
  <c r="J28" i="6" s="1"/>
  <c r="N20" i="7"/>
  <c r="G27" i="6" s="1"/>
  <c r="N12" i="7"/>
  <c r="N28" i="7"/>
  <c r="G32" i="6" s="1"/>
  <c r="J32" i="6" s="1"/>
  <c r="N35" i="7"/>
  <c r="G35" i="6" s="1"/>
  <c r="J35" i="6" s="1"/>
  <c r="N46" i="7"/>
  <c r="G23" i="6" s="1"/>
  <c r="J23" i="6" s="1"/>
  <c r="G16" i="6" l="1"/>
  <c r="G21" i="6"/>
  <c r="J21" i="6" s="1"/>
  <c r="G10" i="6"/>
  <c r="J10" i="6" s="1"/>
  <c r="G12" i="6"/>
  <c r="J12" i="6" s="1"/>
  <c r="F70" i="6"/>
  <c r="J70" i="6" s="1"/>
  <c r="G39" i="6"/>
  <c r="J39" i="6" s="1"/>
  <c r="G38" i="6"/>
  <c r="J38" i="6" s="1"/>
  <c r="J27" i="6"/>
  <c r="G17" i="6"/>
  <c r="G36" i="6"/>
  <c r="J36" i="6" s="1"/>
  <c r="J33" i="6"/>
  <c r="I22" i="6"/>
  <c r="J22" i="6" s="1"/>
  <c r="I16" i="6"/>
  <c r="F17" i="6"/>
  <c r="I17" i="6" s="1"/>
  <c r="F18" i="6"/>
  <c r="J20" i="6"/>
  <c r="G6" i="6"/>
  <c r="J6" i="6" s="1"/>
  <c r="J8" i="6"/>
  <c r="G7" i="6"/>
  <c r="J7" i="6" s="1"/>
  <c r="F71" i="6" l="1"/>
  <c r="J71" i="6" s="1"/>
  <c r="J73" i="6" s="1"/>
  <c r="E50" i="5" s="1"/>
  <c r="J16" i="6"/>
  <c r="J17" i="6"/>
  <c r="J40" i="6" l="1"/>
  <c r="J42" i="6" l="1"/>
  <c r="F52" i="6" s="1"/>
  <c r="J52" i="6" s="1"/>
  <c r="J53" i="6" s="1"/>
  <c r="J55" i="6" s="1"/>
  <c r="J56" i="6" s="1"/>
  <c r="J41" i="6"/>
  <c r="J57" i="6" l="1"/>
  <c r="J58" i="6" l="1"/>
  <c r="J59" i="6" s="1"/>
  <c r="E49" i="5" l="1"/>
  <c r="E52" i="5" s="1"/>
  <c r="J76" i="6"/>
  <c r="E53" i="5" s="1"/>
  <c r="E51" i="5"/>
  <c r="E55" i="5" s="1"/>
  <c r="E54"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<sst xmlns="http://schemas.openxmlformats.org/spreadsheetml/2006/main" count="792" uniqueCount="349">
  <si>
    <t>DESCRIPTION</t>
  </si>
  <si>
    <t>UNIT</t>
  </si>
  <si>
    <t>QUANTITY</t>
  </si>
  <si>
    <t>COMMENT</t>
  </si>
  <si>
    <t>each</t>
  </si>
  <si>
    <t>m</t>
  </si>
  <si>
    <t>tonne</t>
  </si>
  <si>
    <t>Distance to Scrap</t>
  </si>
  <si>
    <t>km</t>
  </si>
  <si>
    <t>Distance to Landfill</t>
  </si>
  <si>
    <t>RATE</t>
  </si>
  <si>
    <t>LAB-CW2</t>
  </si>
  <si>
    <t>General Labour</t>
  </si>
  <si>
    <t>LAB-CW5</t>
  </si>
  <si>
    <t>Qualified Trade</t>
  </si>
  <si>
    <t>LAB-CW6</t>
  </si>
  <si>
    <t>Operator</t>
  </si>
  <si>
    <t>LAB-CW3</t>
  </si>
  <si>
    <t>Fitter</t>
  </si>
  <si>
    <t>HR</t>
  </si>
  <si>
    <t>LABOUR RATES USED</t>
  </si>
  <si>
    <t>QTY</t>
  </si>
  <si>
    <t>Hours Per Day</t>
  </si>
  <si>
    <t>hr</t>
  </si>
  <si>
    <t>INCLUSION</t>
  </si>
  <si>
    <t>TOTAL RATE PER DAY</t>
  </si>
  <si>
    <t>Electrical Works</t>
  </si>
  <si>
    <t>Electrical Works Total</t>
  </si>
  <si>
    <t>CREW RATES PER DAY</t>
  </si>
  <si>
    <t>Cable Removal</t>
  </si>
  <si>
    <t>Liquid Waste Specialist</t>
  </si>
  <si>
    <t>Small Tools</t>
  </si>
  <si>
    <t>PLANT RATES USED</t>
  </si>
  <si>
    <t>Excavator 30T</t>
  </si>
  <si>
    <t>day</t>
  </si>
  <si>
    <t>Tipper 20T</t>
  </si>
  <si>
    <t xml:space="preserve">Excavator </t>
  </si>
  <si>
    <t>Hammer</t>
  </si>
  <si>
    <t>Concrete Breaker</t>
  </si>
  <si>
    <t>Labour</t>
  </si>
  <si>
    <t>Tipper</t>
  </si>
  <si>
    <t>Taking the concrete to site stockpile</t>
  </si>
  <si>
    <t>Tools</t>
  </si>
  <si>
    <t>Concrete Crew Total</t>
  </si>
  <si>
    <t>Excavator</t>
  </si>
  <si>
    <t>Roller</t>
  </si>
  <si>
    <t>Watercart 12-15KL</t>
  </si>
  <si>
    <t>Roller 15-20T</t>
  </si>
  <si>
    <t>Watercart</t>
  </si>
  <si>
    <t>Hammer 30T</t>
  </si>
  <si>
    <t>Excavator 20T</t>
  </si>
  <si>
    <t>Hammer 20T</t>
  </si>
  <si>
    <t>Grader</t>
  </si>
  <si>
    <t>Grader 140</t>
  </si>
  <si>
    <t>Road/Crane Pad Crew</t>
  </si>
  <si>
    <t>Building Crew</t>
  </si>
  <si>
    <t xml:space="preserve">Main Crane </t>
  </si>
  <si>
    <t>Mobile 200T</t>
  </si>
  <si>
    <t xml:space="preserve">Rigger </t>
  </si>
  <si>
    <t>ITEM NO</t>
  </si>
  <si>
    <t>CREW</t>
  </si>
  <si>
    <t>DURATION (DAYS)</t>
  </si>
  <si>
    <t>m3</t>
  </si>
  <si>
    <t>T&amp;D</t>
  </si>
  <si>
    <t>Truck</t>
  </si>
  <si>
    <t xml:space="preserve">T&amp;D Capacity </t>
  </si>
  <si>
    <t>Concrete Loading PR</t>
  </si>
  <si>
    <t>m3/hr</t>
  </si>
  <si>
    <t>Distance</t>
  </si>
  <si>
    <t>Speed</t>
  </si>
  <si>
    <t>km/hr</t>
  </si>
  <si>
    <t>Loading Time</t>
  </si>
  <si>
    <t>Haulage Time</t>
  </si>
  <si>
    <t>min</t>
  </si>
  <si>
    <t>Unloading</t>
  </si>
  <si>
    <t>Change Trucks</t>
  </si>
  <si>
    <t>NO TRUCKS CONCRETE DISPOSAL</t>
  </si>
  <si>
    <t>Total Cycle Time</t>
  </si>
  <si>
    <t>Number of Trucks</t>
  </si>
  <si>
    <t>Concrete Disposal Crew</t>
  </si>
  <si>
    <t>Disposal Fee</t>
  </si>
  <si>
    <t>Conduit Disposal - T&amp;D</t>
  </si>
  <si>
    <t>Removal of Access Road</t>
  </si>
  <si>
    <t>m2</t>
  </si>
  <si>
    <t>NO TRUCKS ROAD MATERIAL DISPOSAL</t>
  </si>
  <si>
    <t>Loading PR</t>
  </si>
  <si>
    <t>Road Material Disposal</t>
  </si>
  <si>
    <t>Per day PR is 30x10=300m3. Hence one excavator can load up to 750tonne/30 = 25 trucks</t>
  </si>
  <si>
    <t>Topsoiling</t>
  </si>
  <si>
    <t>Crane</t>
  </si>
  <si>
    <t>Watecart</t>
  </si>
  <si>
    <t>Topsoil Crew</t>
  </si>
  <si>
    <t>AMOUNT</t>
  </si>
  <si>
    <t>%</t>
  </si>
  <si>
    <t>Maintenance of Environmental Protection</t>
  </si>
  <si>
    <t>week</t>
  </si>
  <si>
    <t>LS</t>
  </si>
  <si>
    <t xml:space="preserve">Traffic Management </t>
  </si>
  <si>
    <t>TOTAL DIRECT JOB COST</t>
  </si>
  <si>
    <t>TOTAL INDIRECT JOB COST</t>
  </si>
  <si>
    <t>2 man crew</t>
  </si>
  <si>
    <t>Cable Removal Crew</t>
  </si>
  <si>
    <t>TOTAL AMOUNT ($)</t>
  </si>
  <si>
    <t>RATE PER UNIT</t>
  </si>
  <si>
    <t>PRODUCTIVITY PER  UNIT</t>
  </si>
  <si>
    <t>Plant &amp; Equipment</t>
  </si>
  <si>
    <t>Each</t>
  </si>
  <si>
    <t>Mobile 150T</t>
  </si>
  <si>
    <t>Recovery Steel</t>
  </si>
  <si>
    <t>Removal of Buildings</t>
  </si>
  <si>
    <t>Construction of Site Office Demob</t>
  </si>
  <si>
    <t>Construction of Site Office recurring cost</t>
  </si>
  <si>
    <t>Subtotal</t>
  </si>
  <si>
    <t>Uplift Margin &amp; Overheads</t>
  </si>
  <si>
    <t>Risk Allowance/Contingency</t>
  </si>
  <si>
    <t>Total Recovery</t>
  </si>
  <si>
    <t>Recovery of Material</t>
  </si>
  <si>
    <t>Yes</t>
  </si>
  <si>
    <t>Conduit Crew Total</t>
  </si>
  <si>
    <t>Pit Crew Total</t>
  </si>
  <si>
    <t>Oxy Cutter</t>
  </si>
  <si>
    <t>2man crew</t>
  </si>
  <si>
    <t>2man  crew</t>
  </si>
  <si>
    <t>Mobilisation</t>
  </si>
  <si>
    <t>Construction of Site Office Establishment</t>
  </si>
  <si>
    <t>0.5% of Base Estimate</t>
  </si>
  <si>
    <t>RECOVERY OF MATERIALS</t>
  </si>
  <si>
    <t>Total Cost Exc Recovery</t>
  </si>
  <si>
    <t>Total Cost After Recovery</t>
  </si>
  <si>
    <t>Cost Per hectare Inc Recovery</t>
  </si>
  <si>
    <t>Number of Panels</t>
  </si>
  <si>
    <t>Area of Panels</t>
  </si>
  <si>
    <t>ha</t>
  </si>
  <si>
    <t>Access Track</t>
  </si>
  <si>
    <t>Removal of Solar Panels</t>
  </si>
  <si>
    <t>Disconnection of Site From Grid and De-energisation of Solar Plant</t>
  </si>
  <si>
    <t>Including removing fuses from cartridges and monitoring and data circuits</t>
  </si>
  <si>
    <t>Solar Crew</t>
  </si>
  <si>
    <t>Franna 25T</t>
  </si>
  <si>
    <t>Telehandler</t>
  </si>
  <si>
    <t>Inverter Removal Crew</t>
  </si>
  <si>
    <t>Removal of PCU</t>
  </si>
  <si>
    <t>Every 16,000 panels has 1 PCU</t>
  </si>
  <si>
    <t>Removal of Kiosk Inverter</t>
  </si>
  <si>
    <t>Kiosk Removal Crew</t>
  </si>
  <si>
    <t>Concrete Disposal</t>
  </si>
  <si>
    <t>Pile Removal Crew</t>
  </si>
  <si>
    <t>Bobcat</t>
  </si>
  <si>
    <t>Attachment</t>
  </si>
  <si>
    <t>`</t>
  </si>
  <si>
    <t>Pile Transport Crew</t>
  </si>
  <si>
    <t>Recovery of Piles</t>
  </si>
  <si>
    <t>NO TRUCKS PILE DISPOSAL</t>
  </si>
  <si>
    <t>Pile Loading PR</t>
  </si>
  <si>
    <t>ton/hr</t>
  </si>
  <si>
    <t>Removal of Conduits</t>
  </si>
  <si>
    <t>Disposal Fee - Conduit</t>
  </si>
  <si>
    <t>Disposal Fee - Concrete</t>
  </si>
  <si>
    <t>Solar Transport Crew</t>
  </si>
  <si>
    <t>Franna</t>
  </si>
  <si>
    <t>Removal of Fencing</t>
  </si>
  <si>
    <t>Concrete Breaker/Grabs</t>
  </si>
  <si>
    <t>Per day PR is 75m3/hr x 10hr =750m3 per day. Hence one excavator can load up to 1350tonne/30 = 45 T&amp;D</t>
  </si>
  <si>
    <t>General Civil Crew</t>
  </si>
  <si>
    <t>removal @ 500m per day</t>
  </si>
  <si>
    <t>Establishment of Environmental Protection</t>
  </si>
  <si>
    <t>Development Footprint</t>
  </si>
  <si>
    <t>It is assumed that every 5m there is a pile of two rows and this is the function of number of rows</t>
  </si>
  <si>
    <t>Removal of Panel Foundations</t>
  </si>
  <si>
    <t>It is assumed that there are 4 conduits and there is 150m of conduits for each PCU</t>
  </si>
  <si>
    <t>It is assumed that every PCU has 1100m of access road and the width is 7m</t>
  </si>
  <si>
    <t>TYPE OF FOUNDATION</t>
  </si>
  <si>
    <t xml:space="preserve">Recovery of Reo </t>
  </si>
  <si>
    <t>Concrete Disposal Fee</t>
  </si>
  <si>
    <t>Cost Per Development Ha Exc Recovery</t>
  </si>
  <si>
    <t>Cost Per Panel Exc Recovery</t>
  </si>
  <si>
    <t>Price Inc Recovery</t>
  </si>
  <si>
    <t>Recovery of Steel</t>
  </si>
  <si>
    <t>Recovery of Solar Panels</t>
  </si>
  <si>
    <t>Steel Transport</t>
  </si>
  <si>
    <t>This item is for removing the steel frame. It is assumed that every 5m there is a column, beam and bracing</t>
  </si>
  <si>
    <t>Foundation Type</t>
  </si>
  <si>
    <t>Drive Steel Pile</t>
  </si>
  <si>
    <t>Concrete Footing</t>
  </si>
  <si>
    <t>Cost Per Panel Inc Recovery</t>
  </si>
  <si>
    <t>$/ha</t>
  </si>
  <si>
    <t>$/panel</t>
  </si>
  <si>
    <t>$</t>
  </si>
  <si>
    <t>Material type</t>
  </si>
  <si>
    <t>Scrap metal facility</t>
  </si>
  <si>
    <t>Aluminium and alloys</t>
  </si>
  <si>
    <t>Copper and alloys</t>
  </si>
  <si>
    <t>Landfill</t>
  </si>
  <si>
    <t>Overall</t>
  </si>
  <si>
    <t>## assumed scrap values are likely to be conservative</t>
  </si>
  <si>
    <t>Residual Waste</t>
  </si>
  <si>
    <t>Glass (combination of cullet &amp; fines)</t>
  </si>
  <si>
    <t>Polymer and Plastics</t>
  </si>
  <si>
    <t>Proportion of Solar Panel Mass</t>
  </si>
  <si>
    <t>Silcon</t>
  </si>
  <si>
    <t>Silver</t>
  </si>
  <si>
    <t>Steel</t>
  </si>
  <si>
    <t>Concrete</t>
  </si>
  <si>
    <t>Recovery</t>
  </si>
  <si>
    <t>No</t>
  </si>
  <si>
    <t>Disposal @ Landfill</t>
  </si>
  <si>
    <t>SOLAR FARM DECOMMISSION OUTPUTS</t>
  </si>
  <si>
    <t>SOLAR FARM DECOMMISSION INPUTS</t>
  </si>
  <si>
    <t>PCU Panel Intervals</t>
  </si>
  <si>
    <t>panels</t>
  </si>
  <si>
    <t>Haul Road Removal</t>
  </si>
  <si>
    <t>Underground Cable/Pit Removal</t>
  </si>
  <si>
    <t>Aluminium and Alloy Recovery</t>
  </si>
  <si>
    <t>Copper and Alloy Recovery</t>
  </si>
  <si>
    <t>Concrete Recovery</t>
  </si>
  <si>
    <t>SOLAR FARM TRIGER</t>
  </si>
  <si>
    <t>Panel Weight</t>
  </si>
  <si>
    <t>kg</t>
  </si>
  <si>
    <t>Area of PCU Concrete Slab</t>
  </si>
  <si>
    <t>Thickness of PCU Concrete Slab</t>
  </si>
  <si>
    <t>Assumed 250mm slab</t>
  </si>
  <si>
    <t xml:space="preserve"> The size size of a  PCU is 12m long  and  4m wide and the foundation size of a kiosk is 1.5m by 1.1m</t>
  </si>
  <si>
    <t>Number of Piles</t>
  </si>
  <si>
    <t>It is assumed that 2m 100mm steel piles and the weight of each pile is 125kg. Hence a truck and dog can carry up to 208 piles</t>
  </si>
  <si>
    <t>Pit Intervals</t>
  </si>
  <si>
    <t>Access Road Thickness</t>
  </si>
  <si>
    <t>Number of Buildings</t>
  </si>
  <si>
    <t>Topsoil</t>
  </si>
  <si>
    <t>Silcon Recovery</t>
  </si>
  <si>
    <t>Glass Recovery</t>
  </si>
  <si>
    <t>Silver Recovery</t>
  </si>
  <si>
    <t>Polymer and Plastics Recovery</t>
  </si>
  <si>
    <t>Steel Frames Quantity</t>
  </si>
  <si>
    <t>SECTION</t>
  </si>
  <si>
    <t>Panels</t>
  </si>
  <si>
    <t>Foundation</t>
  </si>
  <si>
    <t>Cable/Pit</t>
  </si>
  <si>
    <t>Access Track/Make Good</t>
  </si>
  <si>
    <t>Building</t>
  </si>
  <si>
    <t>Mechanical Section</t>
  </si>
  <si>
    <t>Distances</t>
  </si>
  <si>
    <t>TRIGGER</t>
  </si>
  <si>
    <t>Contractor Allowance for Margin and Overheads</t>
  </si>
  <si>
    <t>Risk/Contingency Allowance</t>
  </si>
  <si>
    <t>DECOMMISSIONING OF SOLAR PANELS DIRECT JOB COST</t>
  </si>
  <si>
    <t>INPUT Guide Notes</t>
  </si>
  <si>
    <t>All Cells highlighted              are INPUT variables by the user
Comments column on INPUT TAB are for user commentary associated with variables</t>
  </si>
  <si>
    <t>INPUT the total area of the solar panels</t>
  </si>
  <si>
    <t>INPUT the total number of piles for footing foundation of the solar panel steel support columns</t>
  </si>
  <si>
    <t>INPUT the total length of the access track installed and to be removed after the decommissioning subject to the removal option selection by the user</t>
  </si>
  <si>
    <t>INPUT for the number of ancillary buildings structures installed for the solar farm required to be removed at decommissioning</t>
  </si>
  <si>
    <t>INPUT the area of the PCU's &amp; kiosks proposed foundations.  The proposed plan area is length x width of the PCU and kiosks.</t>
  </si>
  <si>
    <t>INPUT the total number of solar panels for the project.  This is utilised for the removal and transport calculations.</t>
  </si>
  <si>
    <t>INPUT the unit weight of the solar panel. This is utilised for the transport calculations to recycling waste depot.</t>
  </si>
  <si>
    <t>INPUT for the area of reseeding/topsoiling that may be required during decommissioning to 'make good' the lands - assumption based on topsoil and hydroseeding required</t>
  </si>
  <si>
    <t>INPUT the type of footing foundation for the steel column support of solar panels</t>
  </si>
  <si>
    <t>INPUT the pit interval.  This is utilised to determine the number of pits for removal and disposal</t>
  </si>
  <si>
    <t xml:space="preserve">INPUT the number of inground cables per solar panel. This is utilised  to calculate the quantity to removal option selection by the user. </t>
  </si>
  <si>
    <t>INPUT for the overall area of the access roads installed and to be removed after decommissioning subject to the removal option selection by the user</t>
  </si>
  <si>
    <t>INPUT for the overall thickness of the access roads installed and to be removed after decommissioning subject to the removal option selection by the user</t>
  </si>
  <si>
    <t xml:space="preserve">INPUT for the number of solar panel interval between PCU. This utilised for the calculation removal and recycling </t>
  </si>
  <si>
    <t>INPUT the proposed thickness of the foundation of PCU and kiosks.  This is utilised for the calculation removal and recycling disposal</t>
  </si>
  <si>
    <t>INPUT the total tonnage of the steel support columns and bracing. This is utilised for the calculation removal and recycling disposal</t>
  </si>
  <si>
    <t>INPUT for the distance from site to the nearest scrap/recycling facility as part of the resource recovery calculations with respect to haulage and productivity</t>
  </si>
  <si>
    <t>INPUT for the distance from site to the nearest licensed waste facility for disposal haulage and productivity calculations</t>
  </si>
  <si>
    <t>These YES/NO Selections allow for users to customise the calculator to consider project scope</t>
  </si>
  <si>
    <t>Are Underground Cables and Pit to be removed from site? Yes will result in an increase in decommissioning costs</t>
  </si>
  <si>
    <t>YES/NO Selection if material will be considered to be recycled. YES will result in resource recovery credits considered for the resource based on the percentage considered as an INPUT.</t>
  </si>
  <si>
    <t xml:space="preserve">All Cells highlighted              are INPUT variables by the user
</t>
  </si>
  <si>
    <t>INPUT for the allowance by the user for all onsite and offsite overheads, project management including supervision, and contractors profit/margin</t>
  </si>
  <si>
    <t>Output of the Total Decommissioning Cost without consideration to the credits that may be achieved through resource recovery</t>
  </si>
  <si>
    <t>Subject to the YES/NO  Variable by the user, this provides the approximate credit that is calculated based on the resource recovery options selected</t>
  </si>
  <si>
    <t>Output of the Total Decommissioning Cost with consideration to the credits that may be achieved through resource recovery (if applicable)</t>
  </si>
  <si>
    <t>Output for cost per panel excluding recovery</t>
  </si>
  <si>
    <t>Are haul / access roads to be removed from site? Yes will result in an increase in decommissioning costs</t>
  </si>
  <si>
    <t>Select foundation Type</t>
  </si>
  <si>
    <t>INPUT the likely percentage that is anticipated will be recycled. The remainder will be considered as disposal at a licensed waste facility and General Solid Waste.</t>
  </si>
  <si>
    <t>INPUT Allowance for risk and contingency that might be applicable, including but not limited to wet weather, scope creep, delays etc.</t>
  </si>
  <si>
    <t>This Section is for Summary of the OUTPUT of decommissioning. It allows for commenting by user on the outcomes</t>
  </si>
  <si>
    <t>Output for cost per development hectare excluding recovery credits</t>
  </si>
  <si>
    <t>Output for cost per hectare including recovery</t>
  </si>
  <si>
    <t>INPUT Development Footprint of the Solar Farm. For use as a metric of cost per hectare</t>
  </si>
  <si>
    <t>Select Foundation</t>
  </si>
  <si>
    <t>Removal of Concrete Foundations Ground Slab</t>
  </si>
  <si>
    <t>Number of Foundations</t>
  </si>
  <si>
    <t>INPUT the total number footing foundation of the solar panel steel support columns</t>
  </si>
  <si>
    <t>For concrete foundations INPUT the total concrete volume each footing foundation of steel column support which must be based on the assumed dimension by the user</t>
  </si>
  <si>
    <t>Concrete Footings</t>
  </si>
  <si>
    <t>Quantity of inground Cable Per Panel</t>
  </si>
  <si>
    <t>Length of Inground Conduit</t>
  </si>
  <si>
    <t xml:space="preserve">INPUT the number of inground conduits per solar panel. This is utilised  to calculate the quantity to removal option selection by the user. </t>
  </si>
  <si>
    <t>All conduits are assumed as 50mm dia with a weight of  0.78kg per lineal metre</t>
  </si>
  <si>
    <t>One T&amp;D can carry 750m of used conduit.</t>
  </si>
  <si>
    <t>It is assumed a Semi can carry 19tonne of flat packed panels</t>
  </si>
  <si>
    <t>Semi Trailer</t>
  </si>
  <si>
    <t>Information ONLY - Not used</t>
  </si>
  <si>
    <t>it is assumed that 240 panels are removed per crew per day</t>
  </si>
  <si>
    <t>10 Kiosks are removed per crew per day</t>
  </si>
  <si>
    <t>2 PCUs are removed per crew per day</t>
  </si>
  <si>
    <t>Removal of 1500m cable per crew per  hr</t>
  </si>
  <si>
    <t>It is assumed that one crew can remove 1250 panels per crew per day</t>
  </si>
  <si>
    <t>It is assumed that 48 tonne of steel suppport is removed per crew per day</t>
  </si>
  <si>
    <t>It is assumed 192tonne of support steel is transported offsite per day</t>
  </si>
  <si>
    <t>It is assumed 25m3 of concrete is demolished per crew per day</t>
  </si>
  <si>
    <t>It is assumed 150m3 of concrete is disposed of per crew per day</t>
  </si>
  <si>
    <t>It is asssumed 40 piles can be removed per crew per day</t>
  </si>
  <si>
    <t>It is assumed that size of the footing less than 1m deep, and 25m3 of concrete is demolished per crew per day</t>
  </si>
  <si>
    <t>INPUT appropriate labour hourly  rates by the user taking into consideration of costs of employment</t>
  </si>
  <si>
    <t>INPUT the appropriate 'WET' hire rates of the equipment by the user</t>
  </si>
  <si>
    <t>These are calculations for truck number based on typical producitivites for the haul distance provided.
Productivities may alter based on loading and unloading time and travel speed</t>
  </si>
  <si>
    <t>loading piles at 5tonnes per hour</t>
  </si>
  <si>
    <t>It is assumed that the footing is less than 1m deep and removal rate is 150m3 per crew per hour</t>
  </si>
  <si>
    <t>Indicative scrap value ($/tonne)</t>
  </si>
  <si>
    <t xml:space="preserve">INPUT the indicative rate for resource recovery. </t>
  </si>
  <si>
    <t>Residual Waste/Landfill</t>
  </si>
  <si>
    <t>• Decommissioning scope has been broken down to the key elements/tasks with each task containing a subset of works crews to perform the works. Estimates for crews are provided on the CREWS TAB
• Quantities are calculated for the INPUT by the user on the INPUT-OUT TAB, and adjusted by assumptions as detailed in the comments for items such as density
• Productivity per unit can be based on the assumption using the reasonable productivity that can be achieved by set of crew provided on the CREWS TAB. 
•All concrete is recycled at $20/tonne based on typical rates
•All Steel is recylced at $100/tonne resource recovery based on average rates</t>
  </si>
  <si>
    <t>Silt Fence Supply and Install</t>
  </si>
  <si>
    <t xml:space="preserve">length of silt fence is based on length of access track x 2 + 2 x sides of the panel area </t>
  </si>
  <si>
    <t>Rate of $7.5/m is typical cost to suply and install silt fencing</t>
  </si>
  <si>
    <t>Project Duration</t>
  </si>
  <si>
    <t>Duration of Decommisioning Works</t>
  </si>
  <si>
    <t>weeks</t>
  </si>
  <si>
    <t>INPUT the approximate duration of the decommissioning</t>
  </si>
  <si>
    <t>$15,000 recurring costs for site running per week</t>
  </si>
  <si>
    <t>$200,000 assumed for establishent of site</t>
  </si>
  <si>
    <t>Disestablishment of site is 33% of establishment costs</t>
  </si>
  <si>
    <t>Assumptions</t>
  </si>
  <si>
    <t>Refer Crew Sheet</t>
  </si>
  <si>
    <t>Duration as input, and $1,500 typical expense allowed for maintenance and repairs after storm events</t>
  </si>
  <si>
    <t>$60/tonne is considered reasonable costs to dispose of used roadbse - this includes potential stockpiling/spreading costs. Opprotunites may exist to dispose of free onsite.</t>
  </si>
  <si>
    <t>Removal of Roads is based on 120m2 per crew per hour</t>
  </si>
  <si>
    <t>Haulage and disposal of Roads is based on 30m3 per crew per hour</t>
  </si>
  <si>
    <t>Mass of fence 3kg/m2 and remval at a rate of 500lm per crew per hour</t>
  </si>
  <si>
    <t>Number of Kiosk Inverter</t>
  </si>
  <si>
    <t>Input the total number of kiosks inverters. This is utilised for the calculation removal and recycling disposal.</t>
  </si>
  <si>
    <t>Solar Energy Decomissioning Calculator</t>
  </si>
  <si>
    <t>Terms of use and disclaimer</t>
  </si>
  <si>
    <t>This calculator is provided for use by the public including persons engaging in commercial activities.</t>
  </si>
  <si>
    <t>No person or entity (including, without limitation, the State of New South Wales) associated with the development of the calculator makes any representation or warranty regarding its contents, or is liable for any loss or damage whatsoever that may result from the use of the template or any portion or variation thereof, or any other materials presented in conjunction with the calculator, or any errors or omissions in its contents.</t>
  </si>
  <si>
    <t>Users of the calculator must exercise their own skill and judgment and should seek advice from suitably qualified experts, where appropriate.</t>
  </si>
  <si>
    <t xml:space="preserve">The outputs of the calculator are estimations only and subject to a range of variables that can and will change overtime. </t>
  </si>
  <si>
    <t xml:space="preserve">How to use </t>
  </si>
  <si>
    <t xml:space="preserve">This calculator contains a range of fields that can be modified to account for the individual aspects of a project.  Other fields and information are locked to provide consistent estimations. 
Enter information into the 'CALCULATOR TAB' to determine an estimate. </t>
  </si>
  <si>
    <t>Fields that can be modified are shown in blue</t>
  </si>
  <si>
    <r>
      <t>Assumed pathway is to</t>
    </r>
    <r>
      <rPr>
        <b/>
        <vertAlign val="superscript"/>
        <sz val="11"/>
        <color rgb="FFFFFFFF"/>
        <rFont val="Public Sans Light"/>
        <family val="3"/>
      </rPr>
      <t>^^</t>
    </r>
    <r>
      <rPr>
        <b/>
        <sz val="11"/>
        <color rgb="FFFFFFFF"/>
        <rFont val="Public Sans Light"/>
        <family val="3"/>
      </rPr>
      <t>:</t>
    </r>
  </si>
  <si>
    <r>
      <t xml:space="preserve">Illustrative scrap value ($/tonne) </t>
    </r>
    <r>
      <rPr>
        <b/>
        <vertAlign val="superscript"/>
        <sz val="11"/>
        <color rgb="FFFFFFFF"/>
        <rFont val="Public Sans Light"/>
        <family val="3"/>
      </rPr>
      <t>##</t>
    </r>
  </si>
  <si>
    <r>
      <t xml:space="preserve">^^ for material sent to landfill, assume a </t>
    </r>
    <r>
      <rPr>
        <b/>
        <sz val="11"/>
        <color rgb="FFFF0000"/>
        <rFont val="Public Sans Light"/>
        <family val="3"/>
      </rPr>
      <t>landfill disposal cost of $300/tonne</t>
    </r>
  </si>
  <si>
    <r>
      <t xml:space="preserve">** for the concrete foundations, assume all material is sent to a recovery facility – </t>
    </r>
    <r>
      <rPr>
        <b/>
        <sz val="11"/>
        <color rgb="FFFF0000"/>
        <rFont val="Public Sans Light"/>
        <family val="3"/>
      </rPr>
      <t>scrap value is $20/tonne</t>
    </r>
  </si>
  <si>
    <r>
      <t xml:space="preserve">** for steel+M117, assume all material is sent to a recovery facility – </t>
    </r>
    <r>
      <rPr>
        <b/>
        <sz val="11"/>
        <color rgb="FFFF0000"/>
        <rFont val="Public Sans Light"/>
        <family val="3"/>
      </rPr>
      <t>scrap value is $100/tonne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</si>
</sst>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quot;$&quot;#,##0.00"/>
    <numFmt numFmtId="166" formatCode="#,##0;[Red]\(#,##0\)"/>
    <numFmt numFmtId="167" formatCode="#,##0.00;[Red]\(#,##0.00\)"/>
    <numFmt numFmtId="168" formatCode="0.0%"/>
    <numFmt numFmtId="169" formatCode="#,##0.0;\-#,##0.0"/>
    <numFmt numFmtId="170" formatCode="#,##0.0;[Red]\(#,##0.0\)"/>
  </numFmts>
  <fonts count="20" x14ac:knownFonts="1">
    <font>
      <sz val="11"/>
      <color theme="1"/>
      <name val="Calibri"/>
      <family val="2"/>
      <scheme val="minor"/>
    </font>
    <font>
      <sz val="11"/>
      <color theme="1"/>
      <name val="Calibri"/>
      <family val="2"/>
      <scheme val="minor"/>
    </font>
    <font>
      <b/>
      <sz val="20"/>
      <color rgb="FF22272B"/>
      <name val="Public Sans Light"/>
      <family val="3"/>
    </font>
    <font>
      <sz val="11"/>
      <color theme="1"/>
      <name val="Public Sans Light"/>
      <family val="2"/>
    </font>
    <font>
      <b/>
      <sz val="12"/>
      <color rgb="FF22272B"/>
      <name val="Public Sans Light"/>
      <family val="3"/>
    </font>
    <font>
      <sz val="11"/>
      <color rgb="FFFFFFFF"/>
      <name val="Public Sans Light"/>
      <family val="2"/>
    </font>
    <font>
      <b/>
      <u/>
      <sz val="12"/>
      <color theme="1"/>
      <name val="Public Sans Light"/>
      <family val="3"/>
    </font>
    <font>
      <sz val="11"/>
      <color theme="1"/>
      <name val="Public Sans Light"/>
      <family val="3"/>
    </font>
    <font>
      <b/>
      <u/>
      <sz val="11"/>
      <color theme="1"/>
      <name val="Public Sans Light"/>
      <family val="3"/>
    </font>
    <font>
      <b/>
      <sz val="11"/>
      <color theme="1"/>
      <name val="Public Sans Light"/>
      <family val="3"/>
    </font>
    <font>
      <sz val="11"/>
      <color theme="0"/>
      <name val="Public Sans Light"/>
      <family val="3"/>
    </font>
    <font>
      <b/>
      <i/>
      <sz val="11"/>
      <color theme="1"/>
      <name val="Public Sans Light"/>
      <family val="3"/>
    </font>
    <font>
      <b/>
      <u/>
      <sz val="14"/>
      <color theme="1"/>
      <name val="Public Sans Light"/>
      <family val="3"/>
    </font>
    <font>
      <b/>
      <sz val="11"/>
      <color rgb="FFFFFFFF"/>
      <name val="Public Sans Light"/>
      <family val="3"/>
    </font>
    <font>
      <b/>
      <vertAlign val="superscript"/>
      <sz val="11"/>
      <color rgb="FFFFFFFF"/>
      <name val="Public Sans Light"/>
      <family val="3"/>
    </font>
    <font>
      <sz val="11"/>
      <color rgb="FF000000"/>
      <name val="Public Sans Light"/>
      <family val="3"/>
    </font>
    <font>
      <sz val="10"/>
      <color theme="1"/>
      <name val="Public Sans Light"/>
      <family val="3"/>
    </font>
    <font>
      <b/>
      <sz val="11"/>
      <color rgb="FFFF0000"/>
      <name val="Public Sans Light"/>
      <family val="3"/>
    </font>
    <font>
      <sz val="11"/>
      <name val="Public Sans Light"/>
      <family val="3"/>
    </font>
    <font>
      <b/>
      <u/>
      <sz val="12"/>
      <name val="Public Sans Light"/>
      <family val="3"/>
    </font>
  </fonts>
  <fills count="13">
    <fill>
      <patternFill patternType="none"/>
    </fill>
    <fill>
      <patternFill patternType="gray125"/>
    </fill>
    <fill>
      <patternFill patternType="solid">
        <fgColor theme="0" tint="-0.14999847407452621"/>
        <bgColor indexed="64"/>
      </patternFill>
    </fill>
    <fill>
      <patternFill patternType="solid">
        <fgColor rgb="FF004D71"/>
        <bgColor indexed="64"/>
      </patternFill>
    </fill>
    <fill>
      <patternFill patternType="solid">
        <fgColor rgb="FFCBD0D5"/>
        <bgColor indexed="64"/>
      </patternFill>
    </fill>
    <fill>
      <patternFill patternType="solid">
        <fgColor rgb="FFE7E9EB"/>
        <bgColor indexed="64"/>
      </patternFill>
    </fill>
    <fill>
      <patternFill patternType="solid">
        <fgColor theme="0"/>
        <bgColor indexed="64"/>
      </patternFill>
    </fill>
    <fill>
      <patternFill patternType="solid">
        <fgColor rgb="FF146CFD"/>
        <bgColor rgb="FF000000"/>
      </patternFill>
    </fill>
    <fill>
      <patternFill patternType="solid">
        <fgColor rgb="FFF0EEE8"/>
        <bgColor indexed="64"/>
      </patternFill>
    </fill>
    <fill>
      <patternFill patternType="solid">
        <fgColor rgb="FFF2F7FC"/>
        <bgColor indexed="64"/>
      </patternFill>
    </fill>
    <fill>
      <patternFill patternType="solid">
        <fgColor rgb="FFF5F9FD"/>
        <bgColor indexed="64"/>
      </patternFill>
    </fill>
    <fill>
      <patternFill patternType="solid">
        <fgColor rgb="FF0066FF"/>
        <bgColor indexed="64"/>
      </patternFill>
    </fill>
    <fill>
      <patternFill patternType="solid">
        <fgColor rgb="FF0066FF"/>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FFFFFF"/>
      </left>
      <right style="medium">
        <color rgb="FFFFFFFF"/>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3">
    <xf numFmtId="0" fontId="0" fillId="0" borderId="0" xfId="0"/>
    <xf numFmtId="0" fontId="2" fillId="0" borderId="18" xfId="0" applyFont="1" applyBorder="1"/>
    <xf numFmtId="0" fontId="3" fillId="0" borderId="18" xfId="0" applyFont="1" applyBorder="1"/>
    <xf numFmtId="0" fontId="4" fillId="0" borderId="18" xfId="0" applyFont="1" applyBorder="1" applyAlignment="1">
      <alignment horizontal="left" vertical="center"/>
    </xf>
    <xf numFmtId="0" fontId="4" fillId="0" borderId="18" xfId="0" applyFont="1" applyBorder="1"/>
    <xf numFmtId="0" fontId="3" fillId="0" borderId="21" xfId="0" applyFont="1" applyBorder="1"/>
    <xf numFmtId="0" fontId="5" fillId="7" borderId="1" xfId="0" applyFont="1" applyFill="1" applyBorder="1" applyAlignment="1">
      <alignment wrapText="1"/>
    </xf>
    <xf numFmtId="0" fontId="3" fillId="0" borderId="20" xfId="0" applyFont="1" applyBorder="1"/>
    <xf numFmtId="0" fontId="3" fillId="0" borderId="22" xfId="0" applyFont="1" applyBorder="1"/>
    <xf numFmtId="0" fontId="6" fillId="8" borderId="1" xfId="0" applyFont="1" applyFill="1" applyBorder="1" applyAlignment="1">
      <alignment horizontal="center" vertical="center"/>
    </xf>
    <xf numFmtId="0" fontId="7" fillId="0" borderId="0" xfId="0" applyFont="1" applyAlignment="1">
      <alignment horizontal="center" vertical="center"/>
    </xf>
    <xf numFmtId="0" fontId="6" fillId="8" borderId="1" xfId="0" applyFont="1" applyFill="1" applyBorder="1" applyAlignment="1" applyProtection="1">
      <alignment horizontal="center" vertical="center"/>
      <protection locked="0"/>
    </xf>
    <xf numFmtId="0" fontId="8" fillId="10" borderId="1" xfId="0" applyFont="1" applyFill="1" applyBorder="1" applyAlignment="1">
      <alignment horizontal="center" vertical="center"/>
    </xf>
    <xf numFmtId="0" fontId="8" fillId="8" borderId="1" xfId="0" applyFont="1" applyFill="1" applyBorder="1" applyAlignment="1">
      <alignment horizontal="center" vertical="center"/>
    </xf>
    <xf numFmtId="0" fontId="9" fillId="10" borderId="1" xfId="0" applyFont="1" applyFill="1" applyBorder="1" applyAlignment="1">
      <alignment horizontal="center" vertical="center"/>
    </xf>
    <xf numFmtId="0" fontId="7" fillId="10" borderId="1" xfId="0" applyFont="1" applyFill="1" applyBorder="1" applyAlignment="1">
      <alignment horizontal="center" vertical="center"/>
    </xf>
    <xf numFmtId="169" fontId="10" fillId="11" borderId="1" xfId="0" applyNumberFormat="1" applyFont="1" applyFill="1" applyBorder="1" applyAlignment="1" applyProtection="1">
      <alignment horizontal="center" vertical="center"/>
      <protection locked="0"/>
    </xf>
    <xf numFmtId="0" fontId="10" fillId="12" borderId="1" xfId="0" applyFont="1" applyFill="1" applyBorder="1" applyAlignment="1">
      <alignment wrapText="1"/>
    </xf>
    <xf numFmtId="0" fontId="7" fillId="0" borderId="1" xfId="0" applyFont="1" applyBorder="1" applyAlignment="1">
      <alignment horizontal="center" vertical="center"/>
    </xf>
    <xf numFmtId="0" fontId="10" fillId="11" borderId="1" xfId="0" applyFont="1" applyFill="1" applyBorder="1" applyAlignment="1" applyProtection="1">
      <alignment horizontal="center" vertical="center"/>
      <protection locked="0"/>
    </xf>
    <xf numFmtId="0" fontId="10" fillId="6" borderId="0" xfId="0" applyFont="1" applyFill="1" applyAlignment="1">
      <alignment horizontal="center" vertical="center"/>
    </xf>
    <xf numFmtId="37" fontId="10" fillId="11" borderId="1" xfId="0" applyNumberFormat="1" applyFont="1" applyFill="1" applyBorder="1" applyAlignment="1" applyProtection="1">
      <alignment horizontal="center" vertical="center"/>
      <protection locked="0"/>
    </xf>
    <xf numFmtId="0" fontId="8" fillId="8" borderId="1" xfId="0" applyFont="1" applyFill="1" applyBorder="1" applyAlignment="1">
      <alignment vertical="center"/>
    </xf>
    <xf numFmtId="0" fontId="7" fillId="10" borderId="1" xfId="0" applyFont="1" applyFill="1" applyBorder="1" applyAlignment="1">
      <alignment horizontal="center" vertical="center" wrapText="1"/>
    </xf>
    <xf numFmtId="0" fontId="10" fillId="8" borderId="1" xfId="0" applyFont="1" applyFill="1" applyBorder="1" applyAlignment="1" applyProtection="1">
      <alignment horizontal="center" vertical="center"/>
      <protection locked="0"/>
    </xf>
    <xf numFmtId="0" fontId="10" fillId="11" borderId="1" xfId="0" applyFont="1" applyFill="1" applyBorder="1" applyAlignment="1" applyProtection="1">
      <alignment horizontal="center" vertical="center" wrapText="1"/>
      <protection locked="0"/>
    </xf>
    <xf numFmtId="0" fontId="10" fillId="10" borderId="1" xfId="0" applyFont="1" applyFill="1" applyBorder="1" applyAlignment="1" applyProtection="1">
      <alignment horizontal="center" vertical="center"/>
      <protection locked="0"/>
    </xf>
    <xf numFmtId="39" fontId="10" fillId="11" borderId="1" xfId="0" applyNumberFormat="1" applyFont="1" applyFill="1" applyBorder="1" applyAlignment="1" applyProtection="1">
      <alignment horizontal="center" vertical="center"/>
      <protection locked="0"/>
    </xf>
    <xf numFmtId="0" fontId="10" fillId="11" borderId="2" xfId="0" applyFont="1" applyFill="1" applyBorder="1" applyAlignment="1" applyProtection="1">
      <alignment vertical="center" wrapText="1"/>
      <protection locked="0"/>
    </xf>
    <xf numFmtId="0" fontId="10" fillId="11" borderId="6" xfId="0" applyFont="1" applyFill="1" applyBorder="1" applyAlignment="1" applyProtection="1">
      <alignment horizontal="center" vertical="center" wrapText="1"/>
      <protection locked="0"/>
    </xf>
    <xf numFmtId="0" fontId="8" fillId="8" borderId="1" xfId="0" applyFont="1" applyFill="1" applyBorder="1" applyAlignment="1">
      <alignment horizontal="center" vertical="center" wrapText="1"/>
    </xf>
    <xf numFmtId="0" fontId="7" fillId="0" borderId="0" xfId="0" applyFont="1" applyAlignment="1" applyProtection="1">
      <alignment horizontal="center" vertical="center"/>
      <protection locked="0"/>
    </xf>
    <xf numFmtId="9" fontId="10" fillId="11" borderId="16" xfId="2" applyFont="1" applyFill="1" applyBorder="1" applyAlignment="1" applyProtection="1">
      <alignment horizontal="center" vertical="center"/>
      <protection locked="0"/>
    </xf>
    <xf numFmtId="9" fontId="10" fillId="11" borderId="17" xfId="2" applyFont="1" applyFill="1" applyBorder="1" applyAlignment="1" applyProtection="1">
      <alignment horizontal="center" vertical="center"/>
      <protection locked="0"/>
    </xf>
    <xf numFmtId="0" fontId="11" fillId="10" borderId="1" xfId="0" applyFont="1" applyFill="1" applyBorder="1" applyAlignment="1">
      <alignment horizontal="center" vertical="center"/>
    </xf>
    <xf numFmtId="164" fontId="11" fillId="10" borderId="1" xfId="1" applyFont="1" applyFill="1" applyBorder="1" applyAlignment="1">
      <alignment horizontal="center" vertical="center"/>
    </xf>
    <xf numFmtId="0" fontId="11" fillId="11" borderId="1" xfId="0" applyFont="1" applyFill="1" applyBorder="1" applyAlignment="1" applyProtection="1">
      <alignment horizontal="center" vertical="center"/>
      <protection locked="0"/>
    </xf>
    <xf numFmtId="0" fontId="10" fillId="11" borderId="0" xfId="0" applyFont="1" applyFill="1" applyAlignment="1" applyProtection="1">
      <alignment horizontal="center" vertical="center"/>
      <protection locked="0"/>
    </xf>
    <xf numFmtId="164" fontId="11" fillId="10"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9" fillId="0" borderId="1" xfId="0" applyFont="1" applyBorder="1" applyAlignment="1">
      <alignment horizontal="center" vertical="center"/>
    </xf>
    <xf numFmtId="165"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166" fontId="7" fillId="0" borderId="1" xfId="0" applyNumberFormat="1" applyFont="1" applyBorder="1" applyAlignment="1">
      <alignment horizontal="center" vertical="center"/>
    </xf>
    <xf numFmtId="166" fontId="7" fillId="0" borderId="1" xfId="1" applyNumberFormat="1" applyFont="1" applyFill="1" applyBorder="1" applyAlignment="1">
      <alignment horizontal="center" vertical="center"/>
    </xf>
    <xf numFmtId="167" fontId="7" fillId="0" borderId="1" xfId="0" applyNumberFormat="1" applyFont="1" applyBorder="1" applyAlignment="1">
      <alignment horizontal="center" vertical="center"/>
    </xf>
    <xf numFmtId="164" fontId="7" fillId="0" borderId="0" xfId="1" applyFont="1" applyAlignment="1">
      <alignment horizontal="center" vertical="center"/>
    </xf>
    <xf numFmtId="164" fontId="7" fillId="0" borderId="0" xfId="0" applyNumberFormat="1" applyFont="1" applyAlignment="1">
      <alignment horizontal="center" vertical="center"/>
    </xf>
    <xf numFmtId="0" fontId="7" fillId="0" borderId="0" xfId="0" applyFont="1" applyAlignment="1">
      <alignment horizontal="left" vertical="top"/>
    </xf>
    <xf numFmtId="39" fontId="7" fillId="0" borderId="1" xfId="0" applyNumberFormat="1" applyFont="1" applyBorder="1" applyAlignment="1">
      <alignment horizontal="center" vertical="center"/>
    </xf>
    <xf numFmtId="165" fontId="7" fillId="0" borderId="1" xfId="0" applyNumberFormat="1" applyFont="1" applyBorder="1" applyAlignment="1">
      <alignment horizontal="center" vertical="center"/>
    </xf>
    <xf numFmtId="164" fontId="7" fillId="0" borderId="1" xfId="1" applyFont="1" applyFill="1" applyBorder="1" applyAlignment="1">
      <alignment horizontal="center" vertical="center"/>
    </xf>
    <xf numFmtId="43"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43" fontId="7" fillId="0" borderId="0" xfId="0" applyNumberFormat="1" applyFont="1" applyAlignment="1">
      <alignment horizontal="center" vertical="center"/>
    </xf>
    <xf numFmtId="0" fontId="8" fillId="0" borderId="1" xfId="0" applyFont="1" applyBorder="1" applyAlignment="1">
      <alignment horizontal="center" vertical="center"/>
    </xf>
    <xf numFmtId="166" fontId="8" fillId="0" borderId="1" xfId="0" applyNumberFormat="1" applyFont="1" applyBorder="1" applyAlignment="1">
      <alignment horizontal="center" vertical="center"/>
    </xf>
    <xf numFmtId="165" fontId="7" fillId="0" borderId="0" xfId="0" applyNumberFormat="1" applyFont="1" applyAlignment="1">
      <alignment horizontal="center"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165" fontId="9" fillId="0" borderId="1" xfId="0" applyNumberFormat="1" applyFont="1" applyBorder="1" applyAlignment="1">
      <alignment horizontal="center" vertical="center"/>
    </xf>
    <xf numFmtId="170" fontId="7" fillId="0" borderId="1" xfId="0" applyNumberFormat="1" applyFont="1" applyBorder="1" applyAlignment="1">
      <alignment horizontal="center" vertical="center"/>
    </xf>
    <xf numFmtId="9" fontId="7" fillId="0" borderId="1" xfId="2" applyFont="1" applyBorder="1" applyAlignment="1">
      <alignment horizontal="center" vertical="center"/>
    </xf>
    <xf numFmtId="168" fontId="7" fillId="0" borderId="1" xfId="2" applyNumberFormat="1" applyFont="1" applyBorder="1" applyAlignment="1">
      <alignment horizontal="center" vertical="center"/>
    </xf>
    <xf numFmtId="0" fontId="7" fillId="0" borderId="5" xfId="0" applyFont="1" applyBorder="1" applyAlignment="1">
      <alignment horizontal="center" vertical="center"/>
    </xf>
    <xf numFmtId="166" fontId="8" fillId="2" borderId="1" xfId="0" applyNumberFormat="1" applyFont="1" applyFill="1" applyBorder="1" applyAlignment="1">
      <alignment horizontal="center" vertical="center"/>
    </xf>
    <xf numFmtId="166" fontId="7" fillId="0" borderId="0" xfId="0" applyNumberFormat="1" applyFont="1" applyAlignment="1">
      <alignment horizontal="center" vertical="center"/>
    </xf>
    <xf numFmtId="0" fontId="7" fillId="0" borderId="0" xfId="0" applyFont="1" applyAlignment="1">
      <alignment horizontal="right" vertical="center"/>
    </xf>
    <xf numFmtId="9" fontId="7" fillId="0" borderId="0" xfId="2" applyFont="1" applyFill="1" applyBorder="1" applyAlignment="1" applyProtection="1">
      <alignment horizontal="center" vertical="center"/>
      <protection locked="0"/>
    </xf>
    <xf numFmtId="166" fontId="9" fillId="0" borderId="0" xfId="0" applyNumberFormat="1" applyFont="1" applyAlignment="1">
      <alignment horizontal="center" vertical="center"/>
    </xf>
    <xf numFmtId="9" fontId="7" fillId="0" borderId="0" xfId="0" applyNumberFormat="1" applyFont="1" applyAlignment="1" applyProtection="1">
      <alignment horizontal="center" vertical="center"/>
      <protection locked="0"/>
    </xf>
    <xf numFmtId="165" fontId="11" fillId="0" borderId="0" xfId="0" applyNumberFormat="1" applyFont="1" applyAlignment="1">
      <alignment horizontal="left" vertical="center"/>
    </xf>
    <xf numFmtId="166" fontId="11" fillId="0" borderId="0" xfId="0" applyNumberFormat="1" applyFont="1" applyAlignment="1">
      <alignment horizontal="center" vertical="center"/>
    </xf>
    <xf numFmtId="0" fontId="7" fillId="0" borderId="0" xfId="0" applyFont="1" applyAlignment="1">
      <alignment horizontal="left" vertical="center"/>
    </xf>
    <xf numFmtId="0" fontId="13" fillId="3" borderId="8" xfId="0" applyFont="1" applyFill="1" applyBorder="1" applyAlignment="1">
      <alignment horizontal="left" vertical="center" wrapText="1" indent="1"/>
    </xf>
    <xf numFmtId="0" fontId="13" fillId="3" borderId="9" xfId="0" applyFont="1" applyFill="1" applyBorder="1" applyAlignment="1">
      <alignment horizontal="left" vertical="center" wrapText="1" indent="1"/>
    </xf>
    <xf numFmtId="0" fontId="15" fillId="5" borderId="10" xfId="0" applyFont="1" applyFill="1" applyBorder="1" applyAlignment="1">
      <alignment vertical="center" wrapText="1"/>
    </xf>
    <xf numFmtId="0" fontId="15" fillId="5" borderId="11" xfId="0" applyFont="1" applyFill="1" applyBorder="1" applyAlignment="1" applyProtection="1">
      <alignment vertical="center" wrapText="1"/>
      <protection locked="0"/>
    </xf>
    <xf numFmtId="0" fontId="15" fillId="4" borderId="10" xfId="0" applyFont="1" applyFill="1" applyBorder="1" applyAlignment="1">
      <alignment vertical="center" wrapText="1"/>
    </xf>
    <xf numFmtId="9" fontId="15" fillId="4" borderId="11" xfId="0" applyNumberFormat="1" applyFont="1" applyFill="1" applyBorder="1" applyAlignment="1">
      <alignment horizontal="center" vertical="center" wrapText="1"/>
    </xf>
    <xf numFmtId="0" fontId="16" fillId="4" borderId="11" xfId="0" applyFont="1" applyFill="1" applyBorder="1" applyAlignment="1">
      <alignment vertical="center" wrapText="1"/>
    </xf>
    <xf numFmtId="0" fontId="15" fillId="4" borderId="11" xfId="0" applyFont="1" applyFill="1" applyBorder="1" applyAlignment="1">
      <alignment vertical="center" wrapText="1"/>
    </xf>
    <xf numFmtId="0" fontId="7" fillId="0" borderId="0" xfId="0" applyFont="1" applyAlignment="1">
      <alignment vertical="center"/>
    </xf>
    <xf numFmtId="0" fontId="11" fillId="0" borderId="0" xfId="0" applyFont="1" applyAlignment="1">
      <alignment horizontal="left" vertical="center"/>
    </xf>
    <xf numFmtId="165" fontId="11" fillId="0" borderId="0" xfId="0" applyNumberFormat="1" applyFont="1" applyAlignment="1">
      <alignment horizontal="right" vertical="center"/>
    </xf>
    <xf numFmtId="165" fontId="11" fillId="0" borderId="0" xfId="0" applyNumberFormat="1" applyFont="1" applyAlignment="1">
      <alignment horizontal="center" vertical="center"/>
    </xf>
    <xf numFmtId="166" fontId="7" fillId="9" borderId="1" xfId="0" applyNumberFormat="1" applyFont="1" applyFill="1" applyBorder="1" applyAlignment="1">
      <alignment horizontal="center" vertical="center"/>
    </xf>
    <xf numFmtId="168" fontId="10" fillId="11" borderId="11" xfId="0" applyNumberFormat="1" applyFont="1" applyFill="1" applyBorder="1" applyAlignment="1">
      <alignment horizontal="center" vertical="center" wrapText="1"/>
    </xf>
    <xf numFmtId="37" fontId="10" fillId="11" borderId="11" xfId="0" applyNumberFormat="1" applyFont="1" applyFill="1" applyBorder="1" applyAlignment="1">
      <alignment horizontal="center" vertical="center" wrapText="1"/>
    </xf>
    <xf numFmtId="165" fontId="8" fillId="0" borderId="1" xfId="0" applyNumberFormat="1" applyFont="1" applyBorder="1" applyAlignment="1">
      <alignment horizontal="center" vertical="center"/>
    </xf>
    <xf numFmtId="165" fontId="10" fillId="11" borderId="1"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165" fontId="11" fillId="0" borderId="1" xfId="0" applyNumberFormat="1" applyFont="1" applyBorder="1" applyAlignment="1">
      <alignment horizontal="center" vertical="center"/>
    </xf>
    <xf numFmtId="0" fontId="7" fillId="2" borderId="1" xfId="0" applyFont="1" applyFill="1" applyBorder="1" applyAlignment="1">
      <alignment horizontal="center" vertical="center"/>
    </xf>
    <xf numFmtId="165" fontId="7" fillId="2" borderId="1" xfId="0" applyNumberFormat="1" applyFont="1" applyFill="1" applyBorder="1" applyAlignment="1">
      <alignment horizontal="center" vertical="center"/>
    </xf>
    <xf numFmtId="0" fontId="7" fillId="0" borderId="1" xfId="0" applyFont="1" applyBorder="1" applyAlignment="1">
      <alignment vertical="center"/>
    </xf>
    <xf numFmtId="2" fontId="7" fillId="0" borderId="1" xfId="0" applyNumberFormat="1" applyFont="1" applyBorder="1" applyAlignment="1">
      <alignment horizontal="center" vertical="center"/>
    </xf>
    <xf numFmtId="37" fontId="7" fillId="0" borderId="1" xfId="0" applyNumberFormat="1" applyFont="1" applyBorder="1" applyAlignment="1">
      <alignment horizontal="center" vertical="center"/>
    </xf>
    <xf numFmtId="0" fontId="11" fillId="9" borderId="1" xfId="0" applyFont="1" applyFill="1" applyBorder="1" applyAlignment="1">
      <alignment horizontal="center" vertical="center"/>
    </xf>
    <xf numFmtId="0" fontId="18" fillId="0" borderId="0" xfId="0" applyFont="1" applyAlignment="1">
      <alignment horizontal="center" vertical="center"/>
    </xf>
    <xf numFmtId="0" fontId="10" fillId="0" borderId="0" xfId="0" applyFont="1" applyAlignment="1">
      <alignment horizontal="center" vertical="center"/>
    </xf>
    <xf numFmtId="0" fontId="18" fillId="0" borderId="1" xfId="0" applyFont="1" applyBorder="1" applyAlignment="1">
      <alignment horizontal="center" vertical="center"/>
    </xf>
    <xf numFmtId="165" fontId="18" fillId="0" borderId="1" xfId="0" applyNumberFormat="1" applyFont="1" applyBorder="1" applyAlignment="1">
      <alignment horizontal="center" vertical="center"/>
    </xf>
    <xf numFmtId="0" fontId="18" fillId="9" borderId="1" xfId="0" applyFont="1" applyFill="1" applyBorder="1" applyAlignment="1">
      <alignment horizontal="center" vertical="center"/>
    </xf>
    <xf numFmtId="0" fontId="7" fillId="0" borderId="2" xfId="0" applyFont="1" applyBorder="1" applyAlignment="1">
      <alignment vertical="center" wrapText="1"/>
    </xf>
    <xf numFmtId="0" fontId="7" fillId="0" borderId="6" xfId="0" applyFont="1" applyBorder="1" applyAlignment="1">
      <alignment vertical="center" wrapText="1"/>
    </xf>
    <xf numFmtId="0" fontId="7" fillId="0" borderId="1" xfId="0" applyFont="1" applyBorder="1" applyAlignment="1">
      <alignment vertical="center" wrapText="1"/>
    </xf>
    <xf numFmtId="37" fontId="7" fillId="0" borderId="1" xfId="1" applyNumberFormat="1" applyFont="1" applyBorder="1" applyAlignment="1">
      <alignment horizontal="center" vertical="center"/>
    </xf>
    <xf numFmtId="0" fontId="11" fillId="0" borderId="1" xfId="0" applyFont="1" applyBorder="1" applyAlignment="1">
      <alignment horizontal="left" vertical="center"/>
    </xf>
    <xf numFmtId="0" fontId="7" fillId="9" borderId="1" xfId="0" applyFont="1" applyFill="1" applyBorder="1" applyAlignment="1">
      <alignment horizontal="left" vertical="top" wrapText="1"/>
    </xf>
    <xf numFmtId="0" fontId="7" fillId="9" borderId="1" xfId="0" applyFont="1" applyFill="1" applyBorder="1" applyAlignment="1">
      <alignment horizontal="center" vertical="center" wrapText="1"/>
    </xf>
    <xf numFmtId="0" fontId="7" fillId="9" borderId="1" xfId="0" applyFont="1" applyFill="1" applyBorder="1" applyAlignment="1">
      <alignment horizontal="left" vertical="center" wrapText="1"/>
    </xf>
    <xf numFmtId="0" fontId="7" fillId="9" borderId="1" xfId="0" applyFont="1" applyFill="1" applyBorder="1" applyAlignment="1">
      <alignment horizontal="left" vertical="center"/>
    </xf>
    <xf numFmtId="0" fontId="7" fillId="9" borderId="1" xfId="0" applyFont="1" applyFill="1" applyBorder="1" applyAlignment="1">
      <alignment vertical="center" wrapText="1"/>
    </xf>
    <xf numFmtId="0" fontId="3" fillId="0" borderId="19" xfId="0" applyFont="1" applyBorder="1" applyAlignment="1">
      <alignment horizontal="left" wrapText="1"/>
    </xf>
    <xf numFmtId="0" fontId="3" fillId="0" borderId="20" xfId="0" applyFont="1" applyBorder="1" applyAlignment="1">
      <alignment horizontal="left" wrapText="1"/>
    </xf>
    <xf numFmtId="0" fontId="8" fillId="8" borderId="1"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13"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10" borderId="2" xfId="0" applyFont="1" applyFill="1" applyBorder="1" applyAlignment="1">
      <alignment horizontal="center" vertical="center"/>
    </xf>
    <xf numFmtId="0" fontId="9" fillId="10" borderId="6"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6" xfId="0" applyFont="1" applyFill="1" applyBorder="1" applyAlignment="1">
      <alignment horizontal="center" vertical="center"/>
    </xf>
    <xf numFmtId="0" fontId="6" fillId="8" borderId="1" xfId="0" applyFont="1" applyFill="1" applyBorder="1" applyAlignment="1">
      <alignment horizontal="center" vertical="center"/>
    </xf>
    <xf numFmtId="0" fontId="8" fillId="8" borderId="1" xfId="0" applyFont="1" applyFill="1" applyBorder="1" applyAlignment="1">
      <alignment horizontal="center" vertical="center" wrapText="1"/>
    </xf>
    <xf numFmtId="0" fontId="8" fillId="8" borderId="1" xfId="0" applyFont="1" applyFill="1" applyBorder="1" applyAlignment="1" applyProtection="1">
      <alignment horizontal="center" vertical="center" wrapText="1"/>
      <protection locked="0"/>
    </xf>
    <xf numFmtId="0" fontId="7" fillId="9" borderId="1" xfId="0" applyFont="1" applyFill="1" applyBorder="1" applyAlignment="1">
      <alignment vertical="top" wrapText="1"/>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12"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9" borderId="2"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2" xfId="0" applyFont="1" applyFill="1" applyBorder="1" applyAlignment="1">
      <alignment horizontal="left" vertical="center" wrapText="1"/>
    </xf>
    <xf numFmtId="0" fontId="7" fillId="9" borderId="7" xfId="0" applyFont="1" applyFill="1" applyBorder="1" applyAlignment="1">
      <alignment horizontal="left" vertical="center" wrapText="1"/>
    </xf>
    <xf numFmtId="0" fontId="7" fillId="9" borderId="6" xfId="0" applyFont="1" applyFill="1" applyBorder="1" applyAlignment="1">
      <alignment horizontal="left" vertical="center" wrapText="1"/>
    </xf>
    <xf numFmtId="0" fontId="19" fillId="2" borderId="1" xfId="0" applyFont="1" applyFill="1" applyBorder="1" applyAlignment="1">
      <alignment horizontal="center" vertical="center"/>
    </xf>
    <xf numFmtId="0" fontId="7" fillId="9" borderId="1" xfId="0" applyFont="1" applyFill="1" applyBorder="1" applyAlignment="1">
      <alignment horizontal="center" vertical="center" wrapText="1"/>
    </xf>
    <xf numFmtId="0" fontId="7" fillId="9" borderId="1" xfId="0" applyFont="1" applyFill="1" applyBorder="1" applyAlignment="1">
      <alignment horizontal="center" vertical="center"/>
    </xf>
  </cellXfs>
  <cellStyles count="3">
    <cellStyle name="Comma" xfId="1" builtinId="3"/>
    <cellStyle name="Normal" xfId="0" builtinId="0"/>
    <cellStyle name="Percent" xfId="2" builtinId="5"/>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F2F7FC"/>
      <color rgb="FF0066FF"/>
      <color rgb="FF255FEF"/>
      <color rgb="FFF5F9FD"/>
      <color rgb="FFF0EEE8"/>
      <color rgb="FFEBE8E1"/>
      <color rgb="FFE0D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542925</xdr:colOff>
      <xdr:row>1</xdr:row>
      <xdr:rowOff>28575</xdr:rowOff>
    </xdr:from>
    <xdr:to>
      <xdr:col>3</xdr:col>
      <xdr:colOff>333375</xdr:colOff>
      <xdr:row>15</xdr:row>
      <xdr:rowOff>152400</xdr:rowOff>
    </xdr:to>
    <xdr:sp macro="" textlink="">
      <xdr:nvSpPr>
        <xdr:cNvPr id="4" name="Rectangle 3">
          <a:extLst>
            <a:ext uri="{FF2B5EF4-FFF2-40B4-BE49-F238E27FC236}">
              <a16:creationId xmlns:a16="http://schemas.microsoft.com/office/drawing/2014/main" id="{06220CF4-313A-4CCB-870F-A637E945E699}"/>
            </a:ext>
          </a:extLst>
        </xdr:cNvPr>
        <xdr:cNvSpPr/>
      </xdr:nvSpPr>
      <xdr:spPr>
        <a:xfrm>
          <a:off x="542925" y="257175"/>
          <a:ext cx="5994400" cy="7235825"/>
        </a:xfrm>
        <a:prstGeom prst="rect">
          <a:avLst/>
        </a:prstGeom>
        <a:noFill/>
        <a:ln w="12700" cap="flat" cmpd="sng" algn="ctr">
          <a:solidFill>
            <a:srgbClr val="00266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Public Sans Ligh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1441450</xdr:colOff>
      <xdr:row>2</xdr:row>
      <xdr:rowOff>88900</xdr:rowOff>
    </xdr:from>
    <xdr:to>
      <xdr:col>7</xdr:col>
      <xdr:colOff>1758950</xdr:colOff>
      <xdr:row>2</xdr:row>
      <xdr:rowOff>247650</xdr:rowOff>
    </xdr:to>
    <xdr:sp macro="" textlink="">
      <xdr:nvSpPr>
        <xdr:cNvPr id="2" name="Rectangle 1">
          <a:extLst>
            <a:ext uri="{FF2B5EF4-FFF2-40B4-BE49-F238E27FC236}">
              <a16:creationId xmlns:a16="http://schemas.microsoft.com/office/drawing/2014/main" id="{A0D94489-F575-43F9-BAB4-45D9B1F7D6B6}"/>
            </a:ext>
          </a:extLst>
        </xdr:cNvPr>
        <xdr:cNvSpPr/>
      </xdr:nvSpPr>
      <xdr:spPr>
        <a:xfrm>
          <a:off x="12947650" y="711200"/>
          <a:ext cx="317500" cy="158750"/>
        </a:xfrm>
        <a:prstGeom prst="rect">
          <a:avLst/>
        </a:prstGeom>
        <a:solidFill>
          <a:srgbClr val="255FEF"/>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1430867</xdr:colOff>
      <xdr:row>2</xdr:row>
      <xdr:rowOff>50800</xdr:rowOff>
    </xdr:from>
    <xdr:to>
      <xdr:col>6</xdr:col>
      <xdr:colOff>1748367</xdr:colOff>
      <xdr:row>2</xdr:row>
      <xdr:rowOff>209550</xdr:rowOff>
    </xdr:to>
    <xdr:sp macro="" textlink="">
      <xdr:nvSpPr>
        <xdr:cNvPr id="2" name="Rectangle 1">
          <a:extLst>
            <a:ext uri="{FF2B5EF4-FFF2-40B4-BE49-F238E27FC236}">
              <a16:creationId xmlns:a16="http://schemas.microsoft.com/office/drawing/2014/main" id="{15D9A879-4116-460E-BCD9-64BB112AF154}"/>
            </a:ext>
          </a:extLst>
        </xdr:cNvPr>
        <xdr:cNvSpPr/>
      </xdr:nvSpPr>
      <xdr:spPr>
        <a:xfrm>
          <a:off x="6390217" y="622300"/>
          <a:ext cx="317500" cy="158750"/>
        </a:xfrm>
        <a:prstGeom prst="rect">
          <a:avLst/>
        </a:prstGeom>
        <a:solidFill>
          <a:srgbClr val="255FEF"/>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C1C0-E59E-4744-96B9-ADC1F4019D4A}">
  <dimension ref="B3:C14"/>
  <sheetViews>
    <sheetView tabSelected="1" workbookViewId="0">
      <selection activeCell="I9" sqref="I9"/>
    </sheetView>
  </sheetViews>
  <sheetFormatPr defaultColWidth="11.140625" defaultRowHeight="18" x14ac:dyDescent="0.35"/>
  <cols>
    <col min="1" max="1" width="11.140625" style="2"/>
    <col min="2" max="2" width="27.42578125" style="2" customWidth="1"/>
    <col min="3" max="3" width="50.140625" style="2" customWidth="1"/>
    <col min="4" max="16384" width="11.140625" style="2"/>
  </cols>
  <sheetData>
    <row r="3" spans="2:3" ht="32.25" x14ac:dyDescent="0.6">
      <c r="B3" s="1" t="s">
        <v>335</v>
      </c>
    </row>
    <row r="5" spans="2:3" ht="18.75" x14ac:dyDescent="0.35">
      <c r="B5" s="3" t="s">
        <v>336</v>
      </c>
    </row>
    <row r="6" spans="2:3" ht="41.45" customHeight="1" x14ac:dyDescent="0.35">
      <c r="B6" s="116" t="s">
        <v>337</v>
      </c>
      <c r="C6" s="117"/>
    </row>
    <row r="7" spans="2:3" ht="119.1" customHeight="1" x14ac:dyDescent="0.35">
      <c r="B7" s="116" t="s">
        <v>338</v>
      </c>
      <c r="C7" s="117"/>
    </row>
    <row r="8" spans="2:3" ht="45.95" customHeight="1" x14ac:dyDescent="0.35">
      <c r="B8" s="116" t="s">
        <v>339</v>
      </c>
      <c r="C8" s="117"/>
    </row>
    <row r="9" spans="2:3" ht="48.95" customHeight="1" x14ac:dyDescent="0.35">
      <c r="B9" s="116" t="s">
        <v>340</v>
      </c>
      <c r="C9" s="117"/>
    </row>
    <row r="10" spans="2:3" ht="33.6" customHeight="1" x14ac:dyDescent="0.35">
      <c r="B10" s="4" t="s">
        <v>341</v>
      </c>
    </row>
    <row r="11" spans="2:3" ht="89.1" customHeight="1" x14ac:dyDescent="0.35">
      <c r="B11" s="116" t="s">
        <v>342</v>
      </c>
      <c r="C11" s="117"/>
    </row>
    <row r="12" spans="2:3" x14ac:dyDescent="0.35">
      <c r="B12" s="5"/>
    </row>
    <row r="13" spans="2:3" ht="54" x14ac:dyDescent="0.35">
      <c r="B13" s="6" t="s">
        <v>343</v>
      </c>
      <c r="C13" s="7"/>
    </row>
    <row r="14" spans="2:3" x14ac:dyDescent="0.35">
      <c r="B14" s="8"/>
    </row>
  </sheetData>
  <sheetProtection algorithmName="SHA-512" hashValue="gtHYhjj8pNV6lorQ1lTS5FOy1NjqfBTPZ4UYpMnAE2dEnsYPQpqDS3SjIuPYWpRdQHp8/xNlQXr/IufOm+TkhA==" saltValue="1WT0zX1cDGEVStd2Js5Amg==" spinCount="100000" sheet="1" objects="1" scenarios="1"/>
  <mergeCells count="5">
    <mergeCell ref="B6:C6"/>
    <mergeCell ref="B7:C7"/>
    <mergeCell ref="B8:C8"/>
    <mergeCell ref="B9:C9"/>
    <mergeCell ref="B11:C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D5A0B-3E06-4021-B6AA-DC92AA362084}">
  <dimension ref="B2:M55"/>
  <sheetViews>
    <sheetView zoomScaleNormal="100" workbookViewId="0">
      <selection activeCell="E15" sqref="E15"/>
    </sheetView>
  </sheetViews>
  <sheetFormatPr defaultColWidth="8.85546875" defaultRowHeight="18" x14ac:dyDescent="0.25"/>
  <cols>
    <col min="1" max="1" width="8.85546875" style="10"/>
    <col min="2" max="2" width="17.5703125" style="10" customWidth="1"/>
    <col min="3" max="3" width="42.85546875" style="10" customWidth="1"/>
    <col min="4" max="4" width="18.42578125" style="10" customWidth="1"/>
    <col min="5" max="5" width="22.5703125" style="10" bestFit="1" customWidth="1"/>
    <col min="6" max="6" width="53.28515625" style="10" customWidth="1"/>
    <col min="7" max="7" width="2.7109375" style="10" customWidth="1"/>
    <col min="8" max="8" width="80.28515625" style="10" customWidth="1"/>
    <col min="9" max="9" width="3.140625" style="10" customWidth="1"/>
    <col min="10" max="10" width="37.7109375" style="10" bestFit="1" customWidth="1"/>
    <col min="11" max="11" width="12.140625" style="10" customWidth="1"/>
    <col min="12" max="12" width="3" style="10" customWidth="1"/>
    <col min="13" max="13" width="79" style="10" customWidth="1"/>
    <col min="14" max="16384" width="8.85546875" style="10"/>
  </cols>
  <sheetData>
    <row r="2" spans="2:13" ht="31.15" customHeight="1" x14ac:dyDescent="0.25">
      <c r="B2" s="128" t="s">
        <v>207</v>
      </c>
      <c r="C2" s="128"/>
      <c r="D2" s="128"/>
      <c r="E2" s="128"/>
      <c r="F2" s="128"/>
      <c r="H2" s="9" t="s">
        <v>245</v>
      </c>
      <c r="J2" s="128" t="s">
        <v>215</v>
      </c>
      <c r="K2" s="128"/>
      <c r="M2" s="11" t="s">
        <v>245</v>
      </c>
    </row>
    <row r="3" spans="2:13" ht="48.75" customHeight="1" x14ac:dyDescent="0.25">
      <c r="B3" s="12" t="s">
        <v>233</v>
      </c>
      <c r="C3" s="12" t="s">
        <v>0</v>
      </c>
      <c r="D3" s="12" t="s">
        <v>1</v>
      </c>
      <c r="E3" s="12" t="s">
        <v>2</v>
      </c>
      <c r="F3" s="12" t="s">
        <v>3</v>
      </c>
      <c r="H3" s="113" t="s">
        <v>246</v>
      </c>
      <c r="J3" s="12" t="s">
        <v>0</v>
      </c>
      <c r="K3" s="12" t="s">
        <v>241</v>
      </c>
      <c r="M3" s="113" t="s">
        <v>265</v>
      </c>
    </row>
    <row r="4" spans="2:13" ht="45" customHeight="1" x14ac:dyDescent="0.35">
      <c r="B4" s="118" t="s">
        <v>234</v>
      </c>
      <c r="C4" s="14" t="s">
        <v>166</v>
      </c>
      <c r="D4" s="15" t="s">
        <v>132</v>
      </c>
      <c r="E4" s="16">
        <v>895</v>
      </c>
      <c r="F4" s="17"/>
      <c r="H4" s="113" t="s">
        <v>281</v>
      </c>
      <c r="J4" s="18" t="s">
        <v>210</v>
      </c>
      <c r="K4" s="19" t="s">
        <v>117</v>
      </c>
      <c r="L4" s="20">
        <f>IF(K4="yes",1,0)</f>
        <v>1</v>
      </c>
      <c r="M4" s="113" t="s">
        <v>274</v>
      </c>
    </row>
    <row r="5" spans="2:13" ht="45" customHeight="1" x14ac:dyDescent="0.25">
      <c r="B5" s="118"/>
      <c r="C5" s="14" t="s">
        <v>130</v>
      </c>
      <c r="D5" s="15" t="s">
        <v>4</v>
      </c>
      <c r="E5" s="21">
        <v>715000</v>
      </c>
      <c r="F5" s="19"/>
      <c r="H5" s="113" t="s">
        <v>252</v>
      </c>
      <c r="J5" s="18" t="s">
        <v>211</v>
      </c>
      <c r="K5" s="19" t="s">
        <v>117</v>
      </c>
      <c r="L5" s="20">
        <f t="shared" ref="L5:L13" si="0">IF(K5="yes",1,0)</f>
        <v>1</v>
      </c>
      <c r="M5" s="113" t="s">
        <v>266</v>
      </c>
    </row>
    <row r="6" spans="2:13" ht="45" customHeight="1" x14ac:dyDescent="0.25">
      <c r="B6" s="118"/>
      <c r="C6" s="14" t="s">
        <v>216</v>
      </c>
      <c r="D6" s="15" t="s">
        <v>217</v>
      </c>
      <c r="E6" s="16">
        <v>27</v>
      </c>
      <c r="F6" s="19"/>
      <c r="H6" s="113" t="s">
        <v>253</v>
      </c>
      <c r="J6" s="18" t="s">
        <v>228</v>
      </c>
      <c r="K6" s="19" t="s">
        <v>117</v>
      </c>
      <c r="L6" s="20">
        <f t="shared" si="0"/>
        <v>1</v>
      </c>
      <c r="M6" s="113" t="s">
        <v>267</v>
      </c>
    </row>
    <row r="7" spans="2:13" ht="45" customHeight="1" x14ac:dyDescent="0.25">
      <c r="B7" s="118"/>
      <c r="C7" s="14" t="s">
        <v>131</v>
      </c>
      <c r="D7" s="15" t="s">
        <v>132</v>
      </c>
      <c r="E7" s="16">
        <v>269.8</v>
      </c>
      <c r="F7" s="19"/>
      <c r="H7" s="114" t="s">
        <v>247</v>
      </c>
      <c r="J7" s="18" t="s">
        <v>212</v>
      </c>
      <c r="K7" s="19" t="s">
        <v>117</v>
      </c>
      <c r="L7" s="20">
        <f t="shared" si="0"/>
        <v>1</v>
      </c>
      <c r="M7" s="113" t="s">
        <v>267</v>
      </c>
    </row>
    <row r="8" spans="2:13" ht="45" customHeight="1" x14ac:dyDescent="0.25">
      <c r="B8" s="13" t="s">
        <v>235</v>
      </c>
      <c r="C8" s="14" t="s">
        <v>181</v>
      </c>
      <c r="D8" s="23" t="s">
        <v>275</v>
      </c>
      <c r="E8" s="19" t="s">
        <v>182</v>
      </c>
      <c r="F8" s="19"/>
      <c r="H8" s="113" t="s">
        <v>255</v>
      </c>
      <c r="J8" s="18" t="s">
        <v>213</v>
      </c>
      <c r="K8" s="19" t="s">
        <v>117</v>
      </c>
      <c r="L8" s="20">
        <f t="shared" si="0"/>
        <v>1</v>
      </c>
      <c r="M8" s="113" t="s">
        <v>267</v>
      </c>
    </row>
    <row r="9" spans="2:13" ht="45" customHeight="1" x14ac:dyDescent="0.25">
      <c r="B9" s="22"/>
      <c r="C9" s="14" t="s">
        <v>287</v>
      </c>
      <c r="D9" s="15" t="s">
        <v>62</v>
      </c>
      <c r="E9" s="24">
        <f>1*0.5*0.5</f>
        <v>0.25</v>
      </c>
      <c r="F9" s="25"/>
      <c r="H9" s="113" t="s">
        <v>286</v>
      </c>
      <c r="J9" s="18" t="s">
        <v>231</v>
      </c>
      <c r="K9" s="19" t="s">
        <v>117</v>
      </c>
      <c r="L9" s="20">
        <f t="shared" si="0"/>
        <v>1</v>
      </c>
      <c r="M9" s="113" t="s">
        <v>267</v>
      </c>
    </row>
    <row r="10" spans="2:13" ht="45" customHeight="1" x14ac:dyDescent="0.25">
      <c r="B10" s="22"/>
      <c r="C10" s="14" t="s">
        <v>284</v>
      </c>
      <c r="D10" s="15" t="s">
        <v>4</v>
      </c>
      <c r="E10" s="26">
        <v>40000</v>
      </c>
      <c r="F10" s="25"/>
      <c r="H10" s="113" t="s">
        <v>285</v>
      </c>
      <c r="J10" s="18" t="s">
        <v>229</v>
      </c>
      <c r="K10" s="19" t="s">
        <v>117</v>
      </c>
      <c r="L10" s="20">
        <f t="shared" si="0"/>
        <v>1</v>
      </c>
      <c r="M10" s="113" t="s">
        <v>267</v>
      </c>
    </row>
    <row r="11" spans="2:13" ht="45" customHeight="1" x14ac:dyDescent="0.25">
      <c r="B11" s="22"/>
      <c r="C11" s="14" t="s">
        <v>222</v>
      </c>
      <c r="D11" s="15" t="s">
        <v>4</v>
      </c>
      <c r="E11" s="21">
        <v>180000</v>
      </c>
      <c r="F11" s="25" t="s">
        <v>167</v>
      </c>
      <c r="H11" s="113" t="s">
        <v>248</v>
      </c>
      <c r="J11" s="18" t="s">
        <v>230</v>
      </c>
      <c r="K11" s="19" t="s">
        <v>117</v>
      </c>
      <c r="L11" s="20">
        <f t="shared" si="0"/>
        <v>1</v>
      </c>
      <c r="M11" s="113" t="s">
        <v>267</v>
      </c>
    </row>
    <row r="12" spans="2:13" ht="45" customHeight="1" x14ac:dyDescent="0.25">
      <c r="B12" s="13" t="s">
        <v>236</v>
      </c>
      <c r="C12" s="14" t="s">
        <v>288</v>
      </c>
      <c r="D12" s="15" t="s">
        <v>5</v>
      </c>
      <c r="E12" s="27">
        <v>2.2000000000000002</v>
      </c>
      <c r="F12" s="19"/>
      <c r="H12" s="113" t="s">
        <v>257</v>
      </c>
      <c r="J12" s="18" t="s">
        <v>195</v>
      </c>
      <c r="K12" s="19" t="s">
        <v>117</v>
      </c>
      <c r="L12" s="20">
        <f t="shared" si="0"/>
        <v>1</v>
      </c>
      <c r="M12" s="113" t="s">
        <v>267</v>
      </c>
    </row>
    <row r="13" spans="2:13" ht="45" customHeight="1" x14ac:dyDescent="0.25">
      <c r="B13" s="22"/>
      <c r="C13" s="14" t="s">
        <v>289</v>
      </c>
      <c r="D13" s="15" t="s">
        <v>5</v>
      </c>
      <c r="E13" s="27">
        <v>6750</v>
      </c>
      <c r="F13" s="28"/>
      <c r="H13" s="113" t="s">
        <v>290</v>
      </c>
      <c r="J13" s="18" t="s">
        <v>214</v>
      </c>
      <c r="K13" s="19" t="s">
        <v>117</v>
      </c>
      <c r="L13" s="20">
        <f t="shared" si="0"/>
        <v>1</v>
      </c>
      <c r="M13" s="113" t="s">
        <v>267</v>
      </c>
    </row>
    <row r="14" spans="2:13" ht="45" customHeight="1" x14ac:dyDescent="0.25">
      <c r="B14" s="22"/>
      <c r="C14" s="14" t="s">
        <v>224</v>
      </c>
      <c r="D14" s="15" t="s">
        <v>5</v>
      </c>
      <c r="E14" s="21">
        <v>250</v>
      </c>
      <c r="F14" s="29"/>
      <c r="H14" s="113" t="s">
        <v>256</v>
      </c>
    </row>
    <row r="15" spans="2:13" ht="45" customHeight="1" x14ac:dyDescent="0.25">
      <c r="B15" s="129" t="s">
        <v>237</v>
      </c>
      <c r="C15" s="14" t="s">
        <v>133</v>
      </c>
      <c r="D15" s="15" t="s">
        <v>5</v>
      </c>
      <c r="E15" s="21">
        <v>50000</v>
      </c>
      <c r="F15" s="19"/>
      <c r="H15" s="113" t="s">
        <v>249</v>
      </c>
    </row>
    <row r="16" spans="2:13" ht="45" customHeight="1" x14ac:dyDescent="0.25">
      <c r="B16" s="129"/>
      <c r="C16" s="14" t="s">
        <v>133</v>
      </c>
      <c r="D16" s="15" t="s">
        <v>83</v>
      </c>
      <c r="E16" s="21">
        <v>346500</v>
      </c>
      <c r="F16" s="25" t="s">
        <v>170</v>
      </c>
      <c r="H16" s="113" t="s">
        <v>258</v>
      </c>
    </row>
    <row r="17" spans="2:8" ht="45" customHeight="1" x14ac:dyDescent="0.25">
      <c r="B17" s="129"/>
      <c r="C17" s="14" t="s">
        <v>225</v>
      </c>
      <c r="D17" s="15" t="s">
        <v>5</v>
      </c>
      <c r="E17" s="27">
        <v>0.15</v>
      </c>
      <c r="F17" s="25"/>
      <c r="H17" s="113" t="s">
        <v>259</v>
      </c>
    </row>
    <row r="18" spans="2:8" ht="45" customHeight="1" x14ac:dyDescent="0.25">
      <c r="B18" s="129"/>
      <c r="C18" s="14" t="s">
        <v>227</v>
      </c>
      <c r="D18" s="15" t="s">
        <v>83</v>
      </c>
      <c r="E18" s="21">
        <v>349155</v>
      </c>
      <c r="F18" s="25"/>
      <c r="H18" s="113" t="s">
        <v>254</v>
      </c>
    </row>
    <row r="19" spans="2:8" ht="45" customHeight="1" x14ac:dyDescent="0.25">
      <c r="B19" s="13" t="s">
        <v>238</v>
      </c>
      <c r="C19" s="14" t="s">
        <v>226</v>
      </c>
      <c r="D19" s="15" t="s">
        <v>4</v>
      </c>
      <c r="E19" s="21">
        <v>3</v>
      </c>
      <c r="F19" s="25"/>
      <c r="H19" s="113" t="s">
        <v>250</v>
      </c>
    </row>
    <row r="20" spans="2:8" ht="45" customHeight="1" x14ac:dyDescent="0.25">
      <c r="B20" s="130" t="s">
        <v>239</v>
      </c>
      <c r="C20" s="14" t="s">
        <v>208</v>
      </c>
      <c r="D20" s="15" t="s">
        <v>209</v>
      </c>
      <c r="E20" s="21">
        <v>16000</v>
      </c>
      <c r="F20" s="19" t="s">
        <v>142</v>
      </c>
      <c r="H20" s="113" t="s">
        <v>260</v>
      </c>
    </row>
    <row r="21" spans="2:8" ht="45" customHeight="1" x14ac:dyDescent="0.25">
      <c r="B21" s="130"/>
      <c r="C21" s="14" t="s">
        <v>218</v>
      </c>
      <c r="D21" s="15" t="s">
        <v>83</v>
      </c>
      <c r="E21" s="21">
        <v>2655</v>
      </c>
      <c r="F21" s="25" t="s">
        <v>221</v>
      </c>
      <c r="H21" s="113" t="s">
        <v>251</v>
      </c>
    </row>
    <row r="22" spans="2:8" ht="45" customHeight="1" x14ac:dyDescent="0.25">
      <c r="B22" s="130"/>
      <c r="C22" s="14" t="s">
        <v>219</v>
      </c>
      <c r="D22" s="15" t="s">
        <v>5</v>
      </c>
      <c r="E22" s="27">
        <v>0.25</v>
      </c>
      <c r="F22" s="19" t="s">
        <v>220</v>
      </c>
      <c r="H22" s="113" t="s">
        <v>261</v>
      </c>
    </row>
    <row r="23" spans="2:8" ht="45" customHeight="1" x14ac:dyDescent="0.25">
      <c r="B23" s="130"/>
      <c r="C23" s="14" t="s">
        <v>232</v>
      </c>
      <c r="D23" s="15" t="s">
        <v>6</v>
      </c>
      <c r="E23" s="21">
        <v>2430</v>
      </c>
      <c r="F23" s="25" t="s">
        <v>180</v>
      </c>
      <c r="H23" s="113" t="s">
        <v>262</v>
      </c>
    </row>
    <row r="24" spans="2:8" ht="45" customHeight="1" x14ac:dyDescent="0.25">
      <c r="B24" s="130"/>
      <c r="C24" s="14" t="s">
        <v>333</v>
      </c>
      <c r="D24" s="15" t="s">
        <v>4</v>
      </c>
      <c r="E24" s="21">
        <v>300</v>
      </c>
      <c r="F24" s="19"/>
      <c r="H24" s="113" t="s">
        <v>334</v>
      </c>
    </row>
    <row r="25" spans="2:8" ht="54" x14ac:dyDescent="0.25">
      <c r="B25" s="125" t="s">
        <v>203</v>
      </c>
      <c r="C25" s="123" t="s">
        <v>228</v>
      </c>
      <c r="D25" s="15" t="s">
        <v>93</v>
      </c>
      <c r="E25" s="19">
        <v>8.5</v>
      </c>
      <c r="F25" s="19"/>
      <c r="H25" s="113" t="s">
        <v>276</v>
      </c>
    </row>
    <row r="26" spans="2:8" ht="36" x14ac:dyDescent="0.25">
      <c r="B26" s="126"/>
      <c r="C26" s="124"/>
      <c r="D26" s="23" t="s">
        <v>312</v>
      </c>
      <c r="E26" s="21">
        <v>1000</v>
      </c>
      <c r="F26" s="19"/>
      <c r="H26" s="113" t="s">
        <v>313</v>
      </c>
    </row>
    <row r="27" spans="2:8" ht="54" x14ac:dyDescent="0.25">
      <c r="B27" s="126"/>
      <c r="C27" s="123" t="s">
        <v>212</v>
      </c>
      <c r="D27" s="15" t="s">
        <v>93</v>
      </c>
      <c r="E27" s="19">
        <v>16</v>
      </c>
      <c r="F27" s="19"/>
      <c r="H27" s="113" t="s">
        <v>276</v>
      </c>
    </row>
    <row r="28" spans="2:8" ht="36" x14ac:dyDescent="0.25">
      <c r="B28" s="126"/>
      <c r="C28" s="124"/>
      <c r="D28" s="23" t="s">
        <v>312</v>
      </c>
      <c r="E28" s="21">
        <v>1000</v>
      </c>
      <c r="F28" s="19"/>
      <c r="H28" s="113" t="s">
        <v>313</v>
      </c>
    </row>
    <row r="29" spans="2:8" ht="54" x14ac:dyDescent="0.25">
      <c r="B29" s="126"/>
      <c r="C29" s="123" t="s">
        <v>213</v>
      </c>
      <c r="D29" s="15" t="s">
        <v>93</v>
      </c>
      <c r="E29" s="19">
        <v>2.4</v>
      </c>
      <c r="F29" s="19"/>
      <c r="H29" s="113" t="s">
        <v>276</v>
      </c>
    </row>
    <row r="30" spans="2:8" ht="36" x14ac:dyDescent="0.25">
      <c r="B30" s="126"/>
      <c r="C30" s="124"/>
      <c r="D30" s="23" t="s">
        <v>312</v>
      </c>
      <c r="E30" s="21">
        <v>5000</v>
      </c>
      <c r="F30" s="19"/>
      <c r="H30" s="113" t="s">
        <v>313</v>
      </c>
    </row>
    <row r="31" spans="2:8" ht="54" x14ac:dyDescent="0.25">
      <c r="B31" s="126"/>
      <c r="C31" s="123" t="s">
        <v>231</v>
      </c>
      <c r="D31" s="15" t="s">
        <v>93</v>
      </c>
      <c r="E31" s="19">
        <v>4.5</v>
      </c>
      <c r="F31" s="19"/>
      <c r="H31" s="113" t="s">
        <v>276</v>
      </c>
    </row>
    <row r="32" spans="2:8" ht="36" x14ac:dyDescent="0.25">
      <c r="B32" s="126"/>
      <c r="C32" s="124"/>
      <c r="D32" s="23" t="s">
        <v>312</v>
      </c>
      <c r="E32" s="21">
        <v>100</v>
      </c>
      <c r="F32" s="19"/>
      <c r="H32" s="113" t="s">
        <v>313</v>
      </c>
    </row>
    <row r="33" spans="2:8" ht="54" x14ac:dyDescent="0.25">
      <c r="B33" s="126"/>
      <c r="C33" s="123" t="s">
        <v>229</v>
      </c>
      <c r="D33" s="15" t="s">
        <v>93</v>
      </c>
      <c r="E33" s="19">
        <v>60</v>
      </c>
      <c r="F33" s="19"/>
      <c r="H33" s="113" t="s">
        <v>276</v>
      </c>
    </row>
    <row r="34" spans="2:8" ht="36" x14ac:dyDescent="0.25">
      <c r="B34" s="126"/>
      <c r="C34" s="124"/>
      <c r="D34" s="23" t="s">
        <v>312</v>
      </c>
      <c r="E34" s="21">
        <v>30</v>
      </c>
      <c r="F34" s="19"/>
      <c r="H34" s="113" t="s">
        <v>313</v>
      </c>
    </row>
    <row r="35" spans="2:8" ht="54" x14ac:dyDescent="0.25">
      <c r="B35" s="126"/>
      <c r="C35" s="123" t="s">
        <v>230</v>
      </c>
      <c r="D35" s="15" t="s">
        <v>93</v>
      </c>
      <c r="E35" s="19">
        <v>0.1</v>
      </c>
      <c r="F35" s="19"/>
      <c r="H35" s="113" t="s">
        <v>276</v>
      </c>
    </row>
    <row r="36" spans="2:8" ht="36" x14ac:dyDescent="0.25">
      <c r="B36" s="126"/>
      <c r="C36" s="124"/>
      <c r="D36" s="23" t="s">
        <v>312</v>
      </c>
      <c r="E36" s="21">
        <v>250000</v>
      </c>
      <c r="F36" s="19"/>
      <c r="H36" s="113" t="s">
        <v>313</v>
      </c>
    </row>
    <row r="37" spans="2:8" ht="54" x14ac:dyDescent="0.25">
      <c r="B37" s="126"/>
      <c r="C37" s="123" t="s">
        <v>314</v>
      </c>
      <c r="D37" s="15" t="s">
        <v>93</v>
      </c>
      <c r="E37" s="19">
        <v>8.5</v>
      </c>
      <c r="F37" s="19"/>
      <c r="H37" s="113" t="s">
        <v>276</v>
      </c>
    </row>
    <row r="38" spans="2:8" ht="36" x14ac:dyDescent="0.25">
      <c r="B38" s="127"/>
      <c r="C38" s="124"/>
      <c r="D38" s="23" t="s">
        <v>312</v>
      </c>
      <c r="E38" s="21">
        <v>300</v>
      </c>
      <c r="F38" s="19"/>
      <c r="H38" s="113" t="s">
        <v>313</v>
      </c>
    </row>
    <row r="39" spans="2:8" ht="54" x14ac:dyDescent="0.25">
      <c r="B39" s="118" t="s">
        <v>240</v>
      </c>
      <c r="C39" s="14" t="s">
        <v>7</v>
      </c>
      <c r="D39" s="15" t="s">
        <v>8</v>
      </c>
      <c r="E39" s="19">
        <v>450</v>
      </c>
      <c r="F39" s="19"/>
      <c r="H39" s="113" t="s">
        <v>263</v>
      </c>
    </row>
    <row r="40" spans="2:8" ht="36" x14ac:dyDescent="0.25">
      <c r="B40" s="118"/>
      <c r="C40" s="14" t="s">
        <v>9</v>
      </c>
      <c r="D40" s="15" t="s">
        <v>8</v>
      </c>
      <c r="E40" s="19">
        <v>500</v>
      </c>
      <c r="F40" s="19"/>
      <c r="H40" s="112" t="s">
        <v>264</v>
      </c>
    </row>
    <row r="41" spans="2:8" ht="36" x14ac:dyDescent="0.25">
      <c r="B41" s="30" t="s">
        <v>319</v>
      </c>
      <c r="C41" s="14" t="s">
        <v>320</v>
      </c>
      <c r="D41" s="15" t="s">
        <v>321</v>
      </c>
      <c r="E41" s="19">
        <v>45</v>
      </c>
      <c r="F41" s="19"/>
      <c r="H41" s="113" t="s">
        <v>322</v>
      </c>
    </row>
    <row r="42" spans="2:8" x14ac:dyDescent="0.25">
      <c r="H42" s="31"/>
    </row>
    <row r="43" spans="2:8" ht="18.75" thickBot="1" x14ac:dyDescent="0.3">
      <c r="H43" s="31"/>
    </row>
    <row r="44" spans="2:8" ht="36" x14ac:dyDescent="0.25">
      <c r="C44" s="119" t="s">
        <v>242</v>
      </c>
      <c r="D44" s="120"/>
      <c r="E44" s="32">
        <v>0.35</v>
      </c>
      <c r="H44" s="113" t="s">
        <v>269</v>
      </c>
    </row>
    <row r="45" spans="2:8" ht="36.75" thickBot="1" x14ac:dyDescent="0.3">
      <c r="C45" s="121" t="s">
        <v>243</v>
      </c>
      <c r="D45" s="122"/>
      <c r="E45" s="33">
        <v>0.25</v>
      </c>
      <c r="H45" s="113" t="s">
        <v>277</v>
      </c>
    </row>
    <row r="46" spans="2:8" x14ac:dyDescent="0.25">
      <c r="H46" s="31"/>
    </row>
    <row r="47" spans="2:8" ht="18.75" x14ac:dyDescent="0.25">
      <c r="C47" s="128" t="s">
        <v>206</v>
      </c>
      <c r="D47" s="128"/>
      <c r="E47" s="128"/>
      <c r="F47" s="128"/>
      <c r="H47" s="31"/>
    </row>
    <row r="48" spans="2:8" ht="36" x14ac:dyDescent="0.25">
      <c r="C48" s="12" t="s">
        <v>0</v>
      </c>
      <c r="D48" s="12" t="s">
        <v>1</v>
      </c>
      <c r="E48" s="12" t="s">
        <v>92</v>
      </c>
      <c r="F48" s="12" t="s">
        <v>3</v>
      </c>
      <c r="H48" s="115" t="s">
        <v>278</v>
      </c>
    </row>
    <row r="49" spans="2:8" ht="36" customHeight="1" x14ac:dyDescent="0.25">
      <c r="C49" s="34" t="s">
        <v>127</v>
      </c>
      <c r="D49" s="34" t="s">
        <v>187</v>
      </c>
      <c r="E49" s="35">
        <f>'ASSUMPTIONS 1'!J59</f>
        <v>53477645.597257033</v>
      </c>
      <c r="F49" s="36"/>
      <c r="H49" s="115" t="s">
        <v>270</v>
      </c>
    </row>
    <row r="50" spans="2:8" ht="36" customHeight="1" x14ac:dyDescent="0.25">
      <c r="B50" s="37" t="s">
        <v>117</v>
      </c>
      <c r="C50" s="34" t="s">
        <v>116</v>
      </c>
      <c r="D50" s="34" t="s">
        <v>187</v>
      </c>
      <c r="E50" s="35">
        <f>'ASSUMPTIONS 1'!J73</f>
        <v>16211375.25</v>
      </c>
      <c r="F50" s="36"/>
      <c r="H50" s="115" t="s">
        <v>271</v>
      </c>
    </row>
    <row r="51" spans="2:8" ht="36" customHeight="1" x14ac:dyDescent="0.25">
      <c r="C51" s="34" t="s">
        <v>128</v>
      </c>
      <c r="D51" s="34" t="s">
        <v>187</v>
      </c>
      <c r="E51" s="35">
        <f>+E49-E50</f>
        <v>37266270.347257033</v>
      </c>
      <c r="F51" s="36"/>
      <c r="H51" s="115" t="s">
        <v>272</v>
      </c>
    </row>
    <row r="52" spans="2:8" ht="36" customHeight="1" x14ac:dyDescent="0.25">
      <c r="C52" s="34" t="s">
        <v>174</v>
      </c>
      <c r="D52" s="34" t="s">
        <v>185</v>
      </c>
      <c r="E52" s="35">
        <f>E49/E4</f>
        <v>59751.559326544171</v>
      </c>
      <c r="F52" s="36"/>
      <c r="H52" s="115" t="s">
        <v>279</v>
      </c>
    </row>
    <row r="53" spans="2:8" ht="36" customHeight="1" x14ac:dyDescent="0.25">
      <c r="C53" s="34" t="s">
        <v>129</v>
      </c>
      <c r="D53" s="34" t="s">
        <v>185</v>
      </c>
      <c r="E53" s="38">
        <f>'ASSUMPTIONS 1'!J76/CALCULATOR!E4</f>
        <v>41638.290890789984</v>
      </c>
      <c r="F53" s="36"/>
      <c r="H53" s="115" t="s">
        <v>280</v>
      </c>
    </row>
    <row r="54" spans="2:8" ht="36" customHeight="1" x14ac:dyDescent="0.25">
      <c r="C54" s="34" t="s">
        <v>175</v>
      </c>
      <c r="D54" s="34" t="s">
        <v>186</v>
      </c>
      <c r="E54" s="38">
        <f>E49/$E$5</f>
        <v>74.79390992623361</v>
      </c>
      <c r="F54" s="36"/>
      <c r="H54" s="115" t="s">
        <v>273</v>
      </c>
    </row>
    <row r="55" spans="2:8" ht="36" customHeight="1" x14ac:dyDescent="0.25">
      <c r="C55" s="34" t="s">
        <v>184</v>
      </c>
      <c r="D55" s="34" t="s">
        <v>186</v>
      </c>
      <c r="E55" s="38">
        <f>E51/$E$5</f>
        <v>52.120657828331517</v>
      </c>
      <c r="F55" s="36"/>
      <c r="H55" s="115" t="s">
        <v>280</v>
      </c>
    </row>
  </sheetData>
  <sheetProtection algorithmName="SHA-512" hashValue="Gd1k3KWzIN/s/D2+fC1JyxQ+9FKvgD7h5Ija4NSL6ZRZcaIwJJTArN+uzI4pqSJhUZ29X6PRGu9X7B/otsTdAw==" saltValue="8J8YAT0LDJWUHWZKM0CrXg==" spinCount="100000" sheet="1" objects="1" scenarios="1" selectLockedCells="1"/>
  <mergeCells count="17">
    <mergeCell ref="C47:F47"/>
    <mergeCell ref="J2:K2"/>
    <mergeCell ref="B2:F2"/>
    <mergeCell ref="B4:B7"/>
    <mergeCell ref="B15:B18"/>
    <mergeCell ref="B20:B24"/>
    <mergeCell ref="B39:B40"/>
    <mergeCell ref="C44:D44"/>
    <mergeCell ref="C45:D45"/>
    <mergeCell ref="C25:C26"/>
    <mergeCell ref="C37:C38"/>
    <mergeCell ref="B25:B38"/>
    <mergeCell ref="C27:C28"/>
    <mergeCell ref="C29:C30"/>
    <mergeCell ref="C31:C32"/>
    <mergeCell ref="C33:C34"/>
    <mergeCell ref="C35:C36"/>
  </mergeCells>
  <dataValidations count="1">
    <dataValidation type="list" allowBlank="1" showInputMessage="1" showErrorMessage="1" sqref="K4:K13" xr:uid="{43D553C9-8CD9-4E73-8D54-D530F542A252}">
      <formula1>"Yes,No"</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B31A9459-E115-4234-9C97-E8593F703139}">
            <xm:f>$E$8='ASSUMPTIONS 2'!$B$73</xm:f>
            <x14:dxf>
              <font>
                <color theme="0" tint="-0.499984740745262"/>
              </font>
              <fill>
                <patternFill>
                  <bgColor theme="0" tint="-0.499984740745262"/>
                </patternFill>
              </fill>
            </x14:dxf>
          </x14:cfRule>
          <xm:sqref>E9:E10</xm:sqref>
        </x14:conditionalFormatting>
        <x14:conditionalFormatting xmlns:xm="http://schemas.microsoft.com/office/excel/2006/main">
          <x14:cfRule type="expression" priority="1" id="{3351EB3E-A20B-4D9A-9213-C65013FAEBD4}">
            <xm:f>$E$8='ASSUMPTIONS 2'!$B$74</xm:f>
            <x14:dxf>
              <font>
                <color theme="0" tint="-0.499984740745262"/>
              </font>
              <fill>
                <patternFill>
                  <bgColor theme="0" tint="-0.499984740745262"/>
                </patternFill>
              </fill>
            </x14:dxf>
          </x14:cfRule>
          <xm:sqref>E11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7DDD8FD-3133-4A3B-961D-7B14C8C9A839}">
          <x14:formula1>
            <xm:f>'ASSUMPTIONS 2'!$B$72:$B$74</xm:f>
          </x14:formula1>
          <xm:sqref>E8</xm:sqref>
        </x14:dataValidation>
        <x14:dataValidation type="list" allowBlank="1" showInputMessage="1" showErrorMessage="1" xr:uid="{704B21F3-DF04-4E03-9518-4FC5C17E11B8}">
          <x14:formula1>
            <xm:f>'ASSUMPTIONS 2'!$C$80:$C$81</xm:f>
          </x14:formula1>
          <xm:sqref>B50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95FF7-6115-4E8A-A793-8CAD822850C6}">
  <dimension ref="A3:P77"/>
  <sheetViews>
    <sheetView topLeftCell="J25" zoomScaleNormal="100" workbookViewId="0">
      <selection activeCell="K56" sqref="K56"/>
    </sheetView>
  </sheetViews>
  <sheetFormatPr defaultColWidth="8.85546875" defaultRowHeight="18" x14ac:dyDescent="0.25"/>
  <cols>
    <col min="1" max="1" width="12.85546875" style="10" bestFit="1" customWidth="1"/>
    <col min="2" max="2" width="10.7109375" style="10" customWidth="1"/>
    <col min="3" max="3" width="52" style="10" customWidth="1"/>
    <col min="4" max="4" width="26.140625" style="10" customWidth="1"/>
    <col min="5" max="5" width="13.5703125" style="10" customWidth="1"/>
    <col min="6" max="6" width="14.140625" style="10" customWidth="1"/>
    <col min="7" max="7" width="18.85546875" style="58" customWidth="1"/>
    <col min="8" max="8" width="17.140625" style="10" customWidth="1"/>
    <col min="9" max="9" width="29.140625" style="10" customWidth="1"/>
    <col min="10" max="10" width="23.7109375" style="58" customWidth="1"/>
    <col min="11" max="11" width="87.5703125" style="10" customWidth="1"/>
    <col min="12" max="12" width="3.42578125" style="10" customWidth="1"/>
    <col min="13" max="13" width="54.85546875" style="10" customWidth="1"/>
    <col min="14" max="14" width="33.42578125" style="10" bestFit="1" customWidth="1"/>
    <col min="15" max="15" width="32.5703125" style="10" bestFit="1" customWidth="1"/>
    <col min="16" max="16" width="30.140625" style="10" bestFit="1" customWidth="1"/>
    <col min="17" max="17" width="43.85546875" style="10" bestFit="1" customWidth="1"/>
    <col min="18" max="18" width="51.5703125" style="10" bestFit="1" customWidth="1"/>
    <col min="19" max="16384" width="8.85546875" style="10"/>
  </cols>
  <sheetData>
    <row r="3" spans="1:13" ht="45" customHeight="1" x14ac:dyDescent="0.25">
      <c r="B3" s="135" t="s">
        <v>244</v>
      </c>
      <c r="C3" s="135"/>
      <c r="D3" s="135"/>
      <c r="E3" s="135"/>
      <c r="F3" s="135"/>
      <c r="G3" s="135"/>
      <c r="H3" s="135"/>
      <c r="I3" s="135"/>
      <c r="J3" s="135"/>
      <c r="K3" s="135"/>
      <c r="M3" s="39" t="s">
        <v>245</v>
      </c>
    </row>
    <row r="4" spans="1:13" ht="41.45" customHeight="1" x14ac:dyDescent="0.25">
      <c r="B4" s="40" t="s">
        <v>59</v>
      </c>
      <c r="C4" s="40" t="s">
        <v>0</v>
      </c>
      <c r="D4" s="40" t="s">
        <v>60</v>
      </c>
      <c r="E4" s="40" t="s">
        <v>1</v>
      </c>
      <c r="F4" s="40" t="s">
        <v>2</v>
      </c>
      <c r="G4" s="41" t="s">
        <v>103</v>
      </c>
      <c r="H4" s="42" t="s">
        <v>104</v>
      </c>
      <c r="I4" s="42" t="s">
        <v>61</v>
      </c>
      <c r="J4" s="41" t="s">
        <v>102</v>
      </c>
      <c r="K4" s="40" t="s">
        <v>3</v>
      </c>
      <c r="M4" s="131" t="s">
        <v>315</v>
      </c>
    </row>
    <row r="5" spans="1:13" ht="31.9" customHeight="1" x14ac:dyDescent="0.25">
      <c r="B5" s="18">
        <v>1</v>
      </c>
      <c r="C5" s="43" t="s">
        <v>135</v>
      </c>
      <c r="D5" s="18" t="s">
        <v>27</v>
      </c>
      <c r="E5" s="18" t="s">
        <v>4</v>
      </c>
      <c r="F5" s="44">
        <f>CALCULATOR!E5</f>
        <v>715000</v>
      </c>
      <c r="G5" s="44">
        <f>VLOOKUP(D5,'ASSUMPTIONS 2'!$I$4:$N$109,6,0)</f>
        <v>3280</v>
      </c>
      <c r="H5" s="44">
        <v>50000</v>
      </c>
      <c r="I5" s="44">
        <f>ROUNDUP(F5/H5,0)</f>
        <v>15</v>
      </c>
      <c r="J5" s="44">
        <f t="shared" ref="J5:J17" si="0">G5*I5</f>
        <v>49200</v>
      </c>
      <c r="K5" s="18" t="s">
        <v>136</v>
      </c>
      <c r="M5" s="131"/>
    </row>
    <row r="6" spans="1:13" ht="31.9" customHeight="1" x14ac:dyDescent="0.25">
      <c r="B6" s="18">
        <v>2</v>
      </c>
      <c r="C6" s="18" t="s">
        <v>29</v>
      </c>
      <c r="D6" s="18" t="s">
        <v>101</v>
      </c>
      <c r="E6" s="18" t="s">
        <v>5</v>
      </c>
      <c r="F6" s="44">
        <f>CALCULATOR!E12*CALCULATOR!E5*CALCULATOR!L5</f>
        <v>1573000.0000000002</v>
      </c>
      <c r="G6" s="44">
        <f>VLOOKUP(D6,'ASSUMPTIONS 2'!$I$4:$N$109,6,0)</f>
        <v>3250</v>
      </c>
      <c r="H6" s="45">
        <v>1500</v>
      </c>
      <c r="I6" s="44">
        <f>ROUNDUP(F6/H6,0)/10</f>
        <v>104.9</v>
      </c>
      <c r="J6" s="44">
        <f t="shared" si="0"/>
        <v>340925</v>
      </c>
      <c r="K6" s="18" t="s">
        <v>299</v>
      </c>
      <c r="M6" s="131"/>
    </row>
    <row r="7" spans="1:13" ht="31.9" customHeight="1" x14ac:dyDescent="0.25">
      <c r="B7" s="18">
        <v>3</v>
      </c>
      <c r="C7" s="18" t="s">
        <v>141</v>
      </c>
      <c r="D7" s="18" t="s">
        <v>140</v>
      </c>
      <c r="E7" s="18" t="s">
        <v>106</v>
      </c>
      <c r="F7" s="44">
        <f>ROUNDUP(CALCULATOR!E5/CALCULATOR!E20,0)</f>
        <v>45</v>
      </c>
      <c r="G7" s="44">
        <f>VLOOKUP(D7,'ASSUMPTIONS 2'!$I$4:$N$109,6,0)</f>
        <v>13720</v>
      </c>
      <c r="H7" s="46">
        <v>2</v>
      </c>
      <c r="I7" s="44">
        <f>ROUNDUP(F7/H7,0)</f>
        <v>23</v>
      </c>
      <c r="J7" s="44">
        <f t="shared" si="0"/>
        <v>315560</v>
      </c>
      <c r="K7" s="18" t="s">
        <v>298</v>
      </c>
      <c r="M7" s="131"/>
    </row>
    <row r="8" spans="1:13" ht="31.9" customHeight="1" x14ac:dyDescent="0.25">
      <c r="B8" s="18">
        <v>4</v>
      </c>
      <c r="C8" s="18" t="s">
        <v>143</v>
      </c>
      <c r="D8" s="18" t="s">
        <v>144</v>
      </c>
      <c r="E8" s="18" t="s">
        <v>106</v>
      </c>
      <c r="F8" s="44">
        <f>CALCULATOR!E24</f>
        <v>300</v>
      </c>
      <c r="G8" s="44">
        <f>VLOOKUP(D8,'ASSUMPTIONS 2'!$I$4:$N$109,6,0)</f>
        <v>6550</v>
      </c>
      <c r="H8" s="46">
        <v>10</v>
      </c>
      <c r="I8" s="44">
        <f>ROUNDUP(F8/H8,0)</f>
        <v>30</v>
      </c>
      <c r="J8" s="44">
        <f t="shared" si="0"/>
        <v>196500</v>
      </c>
      <c r="K8" s="43" t="s">
        <v>297</v>
      </c>
      <c r="M8" s="131"/>
    </row>
    <row r="9" spans="1:13" ht="31.9" customHeight="1" x14ac:dyDescent="0.25">
      <c r="B9" s="132">
        <v>5</v>
      </c>
      <c r="C9" s="132" t="s">
        <v>134</v>
      </c>
      <c r="D9" s="18" t="s">
        <v>137</v>
      </c>
      <c r="E9" s="18" t="s">
        <v>106</v>
      </c>
      <c r="F9" s="44">
        <f>CALCULATOR!E5</f>
        <v>715000</v>
      </c>
      <c r="G9" s="44">
        <f>VLOOKUP(D9,'ASSUMPTIONS 2'!$I$4:$N$109,6,0)</f>
        <v>6020</v>
      </c>
      <c r="H9" s="46">
        <v>1250</v>
      </c>
      <c r="I9" s="44">
        <f>ROUNDUP(F9/H9,0)</f>
        <v>572</v>
      </c>
      <c r="J9" s="44">
        <f t="shared" si="0"/>
        <v>3443440</v>
      </c>
      <c r="K9" s="18" t="s">
        <v>300</v>
      </c>
      <c r="M9" s="131"/>
    </row>
    <row r="10" spans="1:13" ht="31.9" customHeight="1" x14ac:dyDescent="0.25">
      <c r="A10" s="47"/>
      <c r="B10" s="133"/>
      <c r="C10" s="133"/>
      <c r="D10" s="18" t="s">
        <v>158</v>
      </c>
      <c r="E10" s="18" t="s">
        <v>106</v>
      </c>
      <c r="F10" s="44">
        <f>F9</f>
        <v>715000</v>
      </c>
      <c r="G10" s="44">
        <f>VLOOKUP(D10,'ASSUMPTIONS 2'!$I$4:$N$109,6,0)</f>
        <v>6220</v>
      </c>
      <c r="H10" s="46">
        <f>60/2.5*10</f>
        <v>240</v>
      </c>
      <c r="I10" s="44">
        <f>ROUNDUP(F10/H10,0)/'ASSUMPTIONS 2'!$D$10</f>
        <v>298</v>
      </c>
      <c r="J10" s="44">
        <f t="shared" si="0"/>
        <v>1853560</v>
      </c>
      <c r="K10" s="18" t="s">
        <v>296</v>
      </c>
      <c r="M10" s="131"/>
    </row>
    <row r="11" spans="1:13" ht="31.9" customHeight="1" x14ac:dyDescent="0.25">
      <c r="A11" s="48"/>
      <c r="B11" s="133"/>
      <c r="C11" s="133"/>
      <c r="D11" s="18" t="s">
        <v>294</v>
      </c>
      <c r="E11" s="18" t="s">
        <v>6</v>
      </c>
      <c r="F11" s="44">
        <f>F10*CALCULATOR!E6/1000</f>
        <v>19305</v>
      </c>
      <c r="G11" s="44">
        <f>'ASSUMPTIONS 2'!$D$29</f>
        <v>175</v>
      </c>
      <c r="H11" s="46">
        <v>8</v>
      </c>
      <c r="I11" s="44">
        <f>F11/19*H11</f>
        <v>8128.4210526315792</v>
      </c>
      <c r="J11" s="44">
        <f t="shared" si="0"/>
        <v>1422473.6842105263</v>
      </c>
      <c r="K11" s="43" t="s">
        <v>293</v>
      </c>
      <c r="M11" s="131"/>
    </row>
    <row r="12" spans="1:13" ht="31.9" customHeight="1" x14ac:dyDescent="0.25">
      <c r="A12" s="48"/>
      <c r="B12" s="133"/>
      <c r="C12" s="133"/>
      <c r="D12" s="18" t="s">
        <v>158</v>
      </c>
      <c r="E12" s="18" t="s">
        <v>6</v>
      </c>
      <c r="F12" s="44">
        <f>CALCULATOR!E23</f>
        <v>2430</v>
      </c>
      <c r="G12" s="44">
        <f>VLOOKUP(D12,'ASSUMPTIONS 2'!$I$4:$N$109,6,0)</f>
        <v>6220</v>
      </c>
      <c r="H12" s="46">
        <v>48</v>
      </c>
      <c r="I12" s="44">
        <f>F12/H12</f>
        <v>50.625</v>
      </c>
      <c r="J12" s="44">
        <f t="shared" si="0"/>
        <v>314887.5</v>
      </c>
      <c r="K12" s="43" t="s">
        <v>301</v>
      </c>
      <c r="M12" s="131"/>
    </row>
    <row r="13" spans="1:13" ht="31.9" customHeight="1" x14ac:dyDescent="0.25">
      <c r="A13" s="48"/>
      <c r="B13" s="133"/>
      <c r="C13" s="133"/>
      <c r="D13" s="18" t="s">
        <v>179</v>
      </c>
      <c r="E13" s="18" t="s">
        <v>6</v>
      </c>
      <c r="F13" s="44">
        <f>F12</f>
        <v>2430</v>
      </c>
      <c r="G13" s="44">
        <f>'ASSUMPTIONS 2'!D30</f>
        <v>175</v>
      </c>
      <c r="H13" s="46">
        <v>24</v>
      </c>
      <c r="I13" s="44">
        <f>F13/H13*8</f>
        <v>810</v>
      </c>
      <c r="J13" s="44">
        <f>I13*G13</f>
        <v>141750</v>
      </c>
      <c r="K13" s="43" t="s">
        <v>302</v>
      </c>
      <c r="M13" s="131"/>
    </row>
    <row r="14" spans="1:13" ht="31.9" customHeight="1" x14ac:dyDescent="0.25">
      <c r="A14" s="48"/>
      <c r="B14" s="133"/>
      <c r="C14" s="133"/>
      <c r="D14" s="18" t="s">
        <v>177</v>
      </c>
      <c r="E14" s="18" t="s">
        <v>6</v>
      </c>
      <c r="F14" s="44">
        <f>F13</f>
        <v>2430</v>
      </c>
      <c r="G14" s="44"/>
      <c r="H14" s="46"/>
      <c r="I14" s="44"/>
      <c r="J14" s="44"/>
      <c r="K14" s="43" t="s">
        <v>295</v>
      </c>
      <c r="M14" s="131"/>
    </row>
    <row r="15" spans="1:13" ht="31.9" customHeight="1" x14ac:dyDescent="0.25">
      <c r="A15" s="48"/>
      <c r="B15" s="134"/>
      <c r="C15" s="134"/>
      <c r="D15" s="18" t="s">
        <v>178</v>
      </c>
      <c r="E15" s="18" t="s">
        <v>6</v>
      </c>
      <c r="F15" s="44">
        <f>F11</f>
        <v>19305</v>
      </c>
      <c r="G15" s="44"/>
      <c r="H15" s="46"/>
      <c r="I15" s="44"/>
      <c r="J15" s="44"/>
      <c r="K15" s="43" t="s">
        <v>295</v>
      </c>
      <c r="M15" s="131"/>
    </row>
    <row r="16" spans="1:13" ht="31.9" customHeight="1" x14ac:dyDescent="0.25">
      <c r="B16" s="18">
        <v>6</v>
      </c>
      <c r="C16" s="18" t="s">
        <v>283</v>
      </c>
      <c r="D16" s="18" t="str">
        <f>'ASSUMPTIONS 2'!I12</f>
        <v>Concrete Crew Total</v>
      </c>
      <c r="E16" s="18" t="s">
        <v>62</v>
      </c>
      <c r="F16" s="44">
        <f>CALCULATOR!E21*CALCULATOR!E22</f>
        <v>663.75</v>
      </c>
      <c r="G16" s="44">
        <f>VLOOKUP(D16,'ASSUMPTIONS 2'!$I$4:$N$109,6,0)</f>
        <v>6550</v>
      </c>
      <c r="H16" s="46">
        <v>25</v>
      </c>
      <c r="I16" s="44">
        <f>ROUNDUP(F16/H16,0)</f>
        <v>27</v>
      </c>
      <c r="J16" s="44">
        <f t="shared" si="0"/>
        <v>176850</v>
      </c>
      <c r="K16" s="43" t="s">
        <v>303</v>
      </c>
      <c r="M16" s="131"/>
    </row>
    <row r="17" spans="1:13" ht="31.9" customHeight="1" x14ac:dyDescent="0.25">
      <c r="B17" s="132">
        <v>7</v>
      </c>
      <c r="C17" s="132" t="s">
        <v>145</v>
      </c>
      <c r="D17" s="18" t="s">
        <v>79</v>
      </c>
      <c r="E17" s="18" t="s">
        <v>6</v>
      </c>
      <c r="F17" s="44">
        <f>$F$16*2.5</f>
        <v>1659.375</v>
      </c>
      <c r="G17" s="44">
        <f>VLOOKUP(D17,'ASSUMPTIONS 2'!I9:N97,6,0)</f>
        <v>23400</v>
      </c>
      <c r="H17" s="46">
        <v>150</v>
      </c>
      <c r="I17" s="44">
        <f>ROUNDUP(F17/H17,0)</f>
        <v>12</v>
      </c>
      <c r="J17" s="44">
        <f t="shared" si="0"/>
        <v>280800</v>
      </c>
      <c r="K17" s="43" t="s">
        <v>304</v>
      </c>
      <c r="M17" s="131"/>
    </row>
    <row r="18" spans="1:13" ht="31.9" customHeight="1" x14ac:dyDescent="0.25">
      <c r="B18" s="133"/>
      <c r="C18" s="133"/>
      <c r="D18" s="18" t="s">
        <v>80</v>
      </c>
      <c r="E18" s="18" t="s">
        <v>6</v>
      </c>
      <c r="F18" s="44">
        <f>$F$16*2.5</f>
        <v>1659.375</v>
      </c>
      <c r="G18" s="44"/>
      <c r="H18" s="46"/>
      <c r="I18" s="44"/>
      <c r="J18" s="44"/>
      <c r="K18" s="43" t="s">
        <v>295</v>
      </c>
      <c r="M18" s="131"/>
    </row>
    <row r="19" spans="1:13" ht="31.9" customHeight="1" x14ac:dyDescent="0.25">
      <c r="B19" s="134"/>
      <c r="C19" s="134"/>
      <c r="D19" s="18" t="s">
        <v>108</v>
      </c>
      <c r="E19" s="18" t="s">
        <v>6</v>
      </c>
      <c r="F19" s="44">
        <f>F16*0.15</f>
        <v>99.5625</v>
      </c>
      <c r="G19" s="44"/>
      <c r="H19" s="46"/>
      <c r="I19" s="44"/>
      <c r="J19" s="44"/>
      <c r="K19" s="43" t="s">
        <v>295</v>
      </c>
      <c r="M19" s="131"/>
    </row>
    <row r="20" spans="1:13" ht="31.9" customHeight="1" x14ac:dyDescent="0.25">
      <c r="B20" s="138">
        <v>8</v>
      </c>
      <c r="C20" s="138" t="s">
        <v>168</v>
      </c>
      <c r="D20" s="18" t="s">
        <v>146</v>
      </c>
      <c r="E20" s="18" t="s">
        <v>106</v>
      </c>
      <c r="F20" s="44">
        <f>CALCULATOR!$E$11*IF('ASSUMPTIONS 2'!$C$78=1,'ASSUMPTIONS 2'!$C$78,0)</f>
        <v>180000</v>
      </c>
      <c r="G20" s="44">
        <f>VLOOKUP(D20,'ASSUMPTIONS 2'!$I$4:$N$109,6,0)</f>
        <v>2770</v>
      </c>
      <c r="H20" s="44">
        <f>60/15*10</f>
        <v>40</v>
      </c>
      <c r="I20" s="44">
        <f>ROUNDUP(F20/H20,0)/'ASSUMPTIONS 2'!$D$10</f>
        <v>450</v>
      </c>
      <c r="J20" s="44">
        <f>G20*I20</f>
        <v>1246500</v>
      </c>
      <c r="K20" s="18" t="s">
        <v>305</v>
      </c>
      <c r="M20" s="131"/>
    </row>
    <row r="21" spans="1:13" ht="31.9" customHeight="1" x14ac:dyDescent="0.25">
      <c r="B21" s="138"/>
      <c r="C21" s="138"/>
      <c r="D21" s="18" t="s">
        <v>43</v>
      </c>
      <c r="E21" s="18" t="s">
        <v>62</v>
      </c>
      <c r="F21" s="44">
        <f>CALCULATOR!$E$9*CALCULATOR!$E$10*IF('ASSUMPTIONS 2'!$C$78=0,1,0)</f>
        <v>0</v>
      </c>
      <c r="G21" s="44">
        <f>VLOOKUP(D21,'ASSUMPTIONS 2'!$I$4:$N$109,6,0)</f>
        <v>6550</v>
      </c>
      <c r="H21" s="44">
        <v>25</v>
      </c>
      <c r="I21" s="44">
        <f>ROUNDUP(F21/H21,0)/'ASSUMPTIONS 2'!$D$10</f>
        <v>0</v>
      </c>
      <c r="J21" s="44">
        <f>G21*I21</f>
        <v>0</v>
      </c>
      <c r="K21" s="43" t="s">
        <v>306</v>
      </c>
      <c r="M21" s="131"/>
    </row>
    <row r="22" spans="1:13" ht="31.9" customHeight="1" x14ac:dyDescent="0.25">
      <c r="B22" s="138"/>
      <c r="C22" s="138"/>
      <c r="D22" s="18" t="s">
        <v>150</v>
      </c>
      <c r="E22" s="18" t="s">
        <v>6</v>
      </c>
      <c r="F22" s="44">
        <f>$F$20*0.125*IF('ASSUMPTIONS 2'!$C$78=1,'ASSUMPTIONS 2'!$C$78,0)</f>
        <v>22500</v>
      </c>
      <c r="G22" s="44">
        <f>VLOOKUP(D22,'ASSUMPTIONS 2'!$I$4:$N$109,6,0)</f>
        <v>7900</v>
      </c>
      <c r="H22" s="44">
        <f>H20*0.125</f>
        <v>5</v>
      </c>
      <c r="I22" s="44">
        <f>ROUNDUP(F22/H22,0)/'ASSUMPTIONS 2'!$D$10</f>
        <v>450</v>
      </c>
      <c r="J22" s="44">
        <f>G22*I22</f>
        <v>3555000</v>
      </c>
      <c r="K22" s="43" t="s">
        <v>310</v>
      </c>
      <c r="M22" s="49"/>
    </row>
    <row r="23" spans="1:13" ht="31.9" customHeight="1" x14ac:dyDescent="0.25">
      <c r="B23" s="138"/>
      <c r="C23" s="138"/>
      <c r="D23" s="18" t="s">
        <v>79</v>
      </c>
      <c r="E23" s="18" t="s">
        <v>6</v>
      </c>
      <c r="F23" s="44">
        <f>$F$21*2.5*IF('ASSUMPTIONS 2'!$C$78=0,1,0)</f>
        <v>0</v>
      </c>
      <c r="G23" s="44">
        <f>VLOOKUP(D23,'ASSUMPTIONS 2'!$I$4:$N$109,6,0)</f>
        <v>23400</v>
      </c>
      <c r="H23" s="44">
        <v>150</v>
      </c>
      <c r="I23" s="44">
        <f>ROUNDUP(F23/H23,0)/'ASSUMPTIONS 2'!$D$10</f>
        <v>0</v>
      </c>
      <c r="J23" s="44">
        <f>G23*I23</f>
        <v>0</v>
      </c>
      <c r="K23" s="18" t="s">
        <v>311</v>
      </c>
    </row>
    <row r="24" spans="1:13" ht="31.9" customHeight="1" x14ac:dyDescent="0.25">
      <c r="B24" s="138"/>
      <c r="C24" s="138"/>
      <c r="D24" s="18" t="s">
        <v>173</v>
      </c>
      <c r="E24" s="18" t="s">
        <v>6</v>
      </c>
      <c r="F24" s="44">
        <f>$F$21*2.5-F25*IF('ASSUMPTIONS 2'!$C$78=0,1,0)</f>
        <v>0</v>
      </c>
      <c r="G24" s="44"/>
      <c r="H24" s="44"/>
      <c r="I24" s="44"/>
      <c r="J24" s="44"/>
      <c r="K24" s="43" t="s">
        <v>295</v>
      </c>
    </row>
    <row r="25" spans="1:13" ht="31.9" customHeight="1" x14ac:dyDescent="0.25">
      <c r="B25" s="138"/>
      <c r="C25" s="138"/>
      <c r="D25" s="18" t="s">
        <v>172</v>
      </c>
      <c r="E25" s="18" t="s">
        <v>6</v>
      </c>
      <c r="F25" s="44">
        <f>F21*0.12</f>
        <v>0</v>
      </c>
      <c r="G25" s="44"/>
      <c r="H25" s="44"/>
      <c r="I25" s="44"/>
      <c r="J25" s="44"/>
      <c r="K25" s="43" t="s">
        <v>295</v>
      </c>
    </row>
    <row r="26" spans="1:13" ht="31.9" customHeight="1" x14ac:dyDescent="0.25">
      <c r="B26" s="138"/>
      <c r="C26" s="138"/>
      <c r="D26" s="18" t="s">
        <v>151</v>
      </c>
      <c r="E26" s="18" t="s">
        <v>6</v>
      </c>
      <c r="F26" s="44">
        <f>$F$20*0.125</f>
        <v>22500</v>
      </c>
      <c r="G26" s="44"/>
      <c r="H26" s="44"/>
      <c r="I26" s="44"/>
      <c r="J26" s="44"/>
      <c r="K26" s="43" t="s">
        <v>295</v>
      </c>
    </row>
    <row r="27" spans="1:13" ht="31.9" customHeight="1" x14ac:dyDescent="0.25">
      <c r="A27" s="47"/>
      <c r="B27" s="138">
        <v>9</v>
      </c>
      <c r="C27" s="138" t="s">
        <v>155</v>
      </c>
      <c r="D27" s="18" t="s">
        <v>118</v>
      </c>
      <c r="E27" s="18" t="s">
        <v>5</v>
      </c>
      <c r="F27" s="50">
        <f>CALCULATOR!$E$13</f>
        <v>6750</v>
      </c>
      <c r="G27" s="51">
        <f>VLOOKUP(D27,'ASSUMPTIONS 2'!$I$4:$N$109,6,0)</f>
        <v>8400</v>
      </c>
      <c r="H27" s="18">
        <v>20</v>
      </c>
      <c r="I27" s="18">
        <f>F27/H27/'ASSUMPTIONS 2'!$D$10</f>
        <v>33.75</v>
      </c>
      <c r="J27" s="44">
        <f>G27*I27</f>
        <v>283500</v>
      </c>
      <c r="K27" s="18" t="s">
        <v>169</v>
      </c>
    </row>
    <row r="28" spans="1:13" ht="31.9" customHeight="1" x14ac:dyDescent="0.25">
      <c r="B28" s="138"/>
      <c r="C28" s="138"/>
      <c r="D28" s="18" t="str">
        <f>'ASSUMPTIONS 2'!I70</f>
        <v>Pit Crew Total</v>
      </c>
      <c r="E28" s="18" t="s">
        <v>106</v>
      </c>
      <c r="F28" s="18">
        <f>F27/CALCULATOR!E14*CALCULATOR!L5</f>
        <v>27</v>
      </c>
      <c r="G28" s="51">
        <f>VLOOKUP(D28,'ASSUMPTIONS 2'!$I$4:$N$109,6,0)</f>
        <v>8550</v>
      </c>
      <c r="H28" s="18">
        <v>1</v>
      </c>
      <c r="I28" s="18">
        <f>F28/H28/'ASSUMPTIONS 2'!$D$10</f>
        <v>2.7</v>
      </c>
      <c r="J28" s="44">
        <f>G28*I28</f>
        <v>23085</v>
      </c>
      <c r="K28" s="18"/>
    </row>
    <row r="29" spans="1:13" ht="31.9" customHeight="1" x14ac:dyDescent="0.25">
      <c r="B29" s="138"/>
      <c r="C29" s="138"/>
      <c r="D29" s="18" t="s">
        <v>81</v>
      </c>
      <c r="E29" s="18" t="s">
        <v>5</v>
      </c>
      <c r="F29" s="18">
        <f>F27</f>
        <v>6750</v>
      </c>
      <c r="G29" s="51">
        <f>'ASSUMPTIONS 2'!D30</f>
        <v>175</v>
      </c>
      <c r="H29" s="18"/>
      <c r="I29" s="18">
        <v>16</v>
      </c>
      <c r="J29" s="44">
        <f>G29*I29</f>
        <v>2800</v>
      </c>
      <c r="K29" s="18" t="s">
        <v>292</v>
      </c>
    </row>
    <row r="30" spans="1:13" ht="31.9" customHeight="1" x14ac:dyDescent="0.25">
      <c r="B30" s="138"/>
      <c r="C30" s="138"/>
      <c r="D30" s="18" t="s">
        <v>156</v>
      </c>
      <c r="E30" s="18" t="s">
        <v>6</v>
      </c>
      <c r="F30" s="18">
        <f>F27*0.78</f>
        <v>5265</v>
      </c>
      <c r="G30" s="51">
        <v>65</v>
      </c>
      <c r="H30" s="18"/>
      <c r="I30" s="18"/>
      <c r="J30" s="44">
        <f>F30*G30</f>
        <v>342225</v>
      </c>
      <c r="K30" s="43" t="s">
        <v>291</v>
      </c>
    </row>
    <row r="31" spans="1:13" ht="31.9" customHeight="1" x14ac:dyDescent="0.25">
      <c r="B31" s="138"/>
      <c r="C31" s="138"/>
      <c r="D31" s="18" t="s">
        <v>157</v>
      </c>
      <c r="E31" s="18" t="s">
        <v>6</v>
      </c>
      <c r="F31" s="18">
        <f>F28*1*CALCULATOR!L5</f>
        <v>27</v>
      </c>
      <c r="G31" s="51"/>
      <c r="H31" s="18"/>
      <c r="I31" s="18"/>
      <c r="J31" s="44"/>
      <c r="K31" s="43" t="s">
        <v>295</v>
      </c>
    </row>
    <row r="32" spans="1:13" ht="31.9" customHeight="1" x14ac:dyDescent="0.25">
      <c r="B32" s="138">
        <v>10</v>
      </c>
      <c r="C32" s="138" t="s">
        <v>82</v>
      </c>
      <c r="D32" s="18" t="s">
        <v>54</v>
      </c>
      <c r="E32" s="18" t="s">
        <v>83</v>
      </c>
      <c r="F32" s="52">
        <f>CALCULATOR!E16*CALCULATOR!L4</f>
        <v>346500</v>
      </c>
      <c r="G32" s="51">
        <f>VLOOKUP(D32,'ASSUMPTIONS 2'!$I$4:$N$109,6,0)</f>
        <v>9850</v>
      </c>
      <c r="H32" s="18">
        <v>120</v>
      </c>
      <c r="I32" s="18">
        <f>ROUNDUP(F32/H32,0)/'ASSUMPTIONS 2'!$D$10</f>
        <v>288.8</v>
      </c>
      <c r="J32" s="44">
        <f>I32*G32</f>
        <v>2844680</v>
      </c>
      <c r="K32" s="18" t="s">
        <v>330</v>
      </c>
    </row>
    <row r="33" spans="2:12" ht="31.9" customHeight="1" x14ac:dyDescent="0.25">
      <c r="B33" s="138"/>
      <c r="C33" s="138"/>
      <c r="D33" s="18" t="s">
        <v>86</v>
      </c>
      <c r="E33" s="18" t="s">
        <v>62</v>
      </c>
      <c r="F33" s="53">
        <f>F32*CALCULATOR!E17*CALCULATOR!L4</f>
        <v>51975</v>
      </c>
      <c r="G33" s="51">
        <f>VLOOKUP(D33,'ASSUMPTIONS 2'!$I$4:$N$109,6,0)</f>
        <v>28650</v>
      </c>
      <c r="H33" s="18">
        <v>30</v>
      </c>
      <c r="I33" s="18">
        <f>ROUNDUP(F33/H33,0)/'ASSUMPTIONS 2'!$D$10</f>
        <v>173.3</v>
      </c>
      <c r="J33" s="44">
        <f>I33*G33</f>
        <v>4965045</v>
      </c>
      <c r="K33" s="18" t="s">
        <v>331</v>
      </c>
    </row>
    <row r="34" spans="2:12" ht="31.9" customHeight="1" x14ac:dyDescent="0.25">
      <c r="B34" s="138"/>
      <c r="C34" s="138"/>
      <c r="D34" s="18" t="s">
        <v>80</v>
      </c>
      <c r="E34" s="18" t="s">
        <v>6</v>
      </c>
      <c r="F34" s="53">
        <f>F33*1.8*CALCULATOR!L4</f>
        <v>93555</v>
      </c>
      <c r="G34" s="51">
        <v>60</v>
      </c>
      <c r="H34" s="18"/>
      <c r="I34" s="18"/>
      <c r="J34" s="44">
        <f>F34*G34</f>
        <v>5613300</v>
      </c>
      <c r="K34" s="43" t="s">
        <v>329</v>
      </c>
    </row>
    <row r="35" spans="2:12" ht="31.9" customHeight="1" x14ac:dyDescent="0.25">
      <c r="B35" s="138">
        <v>11</v>
      </c>
      <c r="C35" s="138" t="s">
        <v>109</v>
      </c>
      <c r="D35" s="18" t="s">
        <v>55</v>
      </c>
      <c r="E35" s="18" t="s">
        <v>106</v>
      </c>
      <c r="F35" s="18">
        <v>1</v>
      </c>
      <c r="G35" s="51">
        <f>VLOOKUP(D35,'ASSUMPTIONS 2'!$I$4:$N$109,6,0)</f>
        <v>9500</v>
      </c>
      <c r="H35" s="18">
        <v>20</v>
      </c>
      <c r="I35" s="18">
        <f>F35*H35</f>
        <v>20</v>
      </c>
      <c r="J35" s="44">
        <f>I35*G35</f>
        <v>190000</v>
      </c>
      <c r="K35" s="18"/>
    </row>
    <row r="36" spans="2:12" ht="31.9" customHeight="1" x14ac:dyDescent="0.25">
      <c r="B36" s="138"/>
      <c r="C36" s="138"/>
      <c r="D36" s="18" t="s">
        <v>79</v>
      </c>
      <c r="E36" s="18" t="s">
        <v>6</v>
      </c>
      <c r="F36" s="18">
        <f>50*CALCULATOR!E19</f>
        <v>150</v>
      </c>
      <c r="G36" s="51">
        <f>VLOOKUP(D36,'ASSUMPTIONS 2'!$I$4:$N$109,6,0)</f>
        <v>23400</v>
      </c>
      <c r="H36" s="18">
        <v>150</v>
      </c>
      <c r="I36" s="18">
        <v>1</v>
      </c>
      <c r="J36" s="44">
        <f>I36*G36</f>
        <v>23400</v>
      </c>
      <c r="K36" s="18"/>
    </row>
    <row r="37" spans="2:12" ht="31.9" customHeight="1" x14ac:dyDescent="0.25">
      <c r="B37" s="138"/>
      <c r="C37" s="138"/>
      <c r="D37" s="18" t="s">
        <v>80</v>
      </c>
      <c r="E37" s="18" t="s">
        <v>6</v>
      </c>
      <c r="F37" s="18">
        <f>F36</f>
        <v>150</v>
      </c>
      <c r="G37" s="51">
        <v>300</v>
      </c>
      <c r="H37" s="18"/>
      <c r="I37" s="18"/>
      <c r="J37" s="44">
        <f>F37*G37</f>
        <v>45000</v>
      </c>
      <c r="K37" s="18"/>
    </row>
    <row r="38" spans="2:12" ht="31.9" customHeight="1" x14ac:dyDescent="0.25">
      <c r="B38" s="18">
        <v>12</v>
      </c>
      <c r="C38" s="18" t="s">
        <v>160</v>
      </c>
      <c r="D38" s="18" t="s">
        <v>163</v>
      </c>
      <c r="E38" s="18" t="s">
        <v>5</v>
      </c>
      <c r="F38" s="52">
        <f>SQRT(CALCULATOR!E4*10000)*4</f>
        <v>11966.620241321272</v>
      </c>
      <c r="G38" s="51">
        <f>VLOOKUP(D38,'ASSUMPTIONS 2'!$I$4:$N$109,6,0)</f>
        <v>4800</v>
      </c>
      <c r="H38" s="18">
        <v>500</v>
      </c>
      <c r="I38" s="54">
        <f>F38/H38</f>
        <v>23.933240482642546</v>
      </c>
      <c r="J38" s="44">
        <f>I38*G38</f>
        <v>114879.55431668423</v>
      </c>
      <c r="K38" s="18" t="s">
        <v>332</v>
      </c>
      <c r="L38" s="55"/>
    </row>
    <row r="39" spans="2:12" ht="31.9" customHeight="1" x14ac:dyDescent="0.25">
      <c r="B39" s="18">
        <v>12</v>
      </c>
      <c r="C39" s="18" t="s">
        <v>88</v>
      </c>
      <c r="D39" s="18" t="s">
        <v>91</v>
      </c>
      <c r="E39" s="18" t="s">
        <v>83</v>
      </c>
      <c r="F39" s="52">
        <f>F32+(F16/0.25)</f>
        <v>349155</v>
      </c>
      <c r="G39" s="51">
        <f>VLOOKUP(D39,'ASSUMPTIONS 2'!$I$4:$N$109,6,0)</f>
        <v>6550</v>
      </c>
      <c r="H39" s="18">
        <v>150</v>
      </c>
      <c r="I39" s="54">
        <f>F39/H39/'ASSUMPTIONS 2'!$D$10</f>
        <v>232.76999999999998</v>
      </c>
      <c r="J39" s="44">
        <f>I39*G39</f>
        <v>1524643.4999999998</v>
      </c>
      <c r="K39" s="18"/>
    </row>
    <row r="40" spans="2:12" ht="31.9" customHeight="1" x14ac:dyDescent="0.25">
      <c r="B40" s="18">
        <v>13</v>
      </c>
      <c r="C40" s="18" t="s">
        <v>123</v>
      </c>
      <c r="D40" s="18" t="s">
        <v>105</v>
      </c>
      <c r="E40" s="18" t="s">
        <v>93</v>
      </c>
      <c r="F40" s="18">
        <v>1.5</v>
      </c>
      <c r="G40" s="51"/>
      <c r="H40" s="18"/>
      <c r="I40" s="18"/>
      <c r="J40" s="44">
        <f>SUM(J5:J39)*F40/100</f>
        <v>439650.06357790815</v>
      </c>
      <c r="K40" s="18"/>
    </row>
    <row r="41" spans="2:12" ht="31.9" customHeight="1" x14ac:dyDescent="0.25">
      <c r="B41" s="18">
        <v>13</v>
      </c>
      <c r="C41" s="18" t="s">
        <v>205</v>
      </c>
      <c r="D41" s="18" t="s">
        <v>80</v>
      </c>
      <c r="E41" s="18" t="s">
        <v>6</v>
      </c>
      <c r="F41" s="18"/>
      <c r="G41" s="51"/>
      <c r="H41" s="18"/>
      <c r="I41" s="18"/>
      <c r="J41" s="44">
        <f>SUM(J6:J40)*F41/100</f>
        <v>0</v>
      </c>
      <c r="K41" s="18"/>
    </row>
    <row r="42" spans="2:12" ht="20.45" customHeight="1" x14ac:dyDescent="0.25">
      <c r="B42" s="137" t="s">
        <v>98</v>
      </c>
      <c r="C42" s="137"/>
      <c r="D42" s="137"/>
      <c r="E42" s="137"/>
      <c r="F42" s="137"/>
      <c r="G42" s="137"/>
      <c r="H42" s="137"/>
      <c r="I42" s="137"/>
      <c r="J42" s="57">
        <f>SUM(J5:J40)</f>
        <v>29749654.302105118</v>
      </c>
    </row>
    <row r="43" spans="2:12" x14ac:dyDescent="0.25">
      <c r="H43" s="10" t="s">
        <v>149</v>
      </c>
    </row>
    <row r="45" spans="2:12" ht="18.75" x14ac:dyDescent="0.25">
      <c r="B45" s="59" t="s">
        <v>149</v>
      </c>
      <c r="C45" s="60"/>
      <c r="D45" s="60"/>
      <c r="E45" s="60"/>
      <c r="F45" s="60"/>
      <c r="J45" s="60"/>
      <c r="K45" s="61"/>
    </row>
    <row r="46" spans="2:12" x14ac:dyDescent="0.25">
      <c r="B46" s="40" t="s">
        <v>59</v>
      </c>
      <c r="C46" s="40" t="s">
        <v>0</v>
      </c>
      <c r="D46" s="40" t="s">
        <v>1</v>
      </c>
      <c r="E46" s="40" t="s">
        <v>2</v>
      </c>
      <c r="F46" s="62" t="s">
        <v>10</v>
      </c>
      <c r="J46" s="40" t="s">
        <v>92</v>
      </c>
      <c r="K46" s="40" t="s">
        <v>326</v>
      </c>
    </row>
    <row r="47" spans="2:12" x14ac:dyDescent="0.25">
      <c r="B47" s="18">
        <v>1</v>
      </c>
      <c r="C47" s="18" t="s">
        <v>165</v>
      </c>
      <c r="D47" s="18" t="s">
        <v>5</v>
      </c>
      <c r="E47" s="44">
        <f>'ASSUMPTIONS 2'!L107</f>
        <v>103285.11795830834</v>
      </c>
      <c r="F47" s="63">
        <f>'ASSUMPTIONS 2'!M107</f>
        <v>7.5</v>
      </c>
      <c r="J47" s="44">
        <f t="shared" ref="J47:J52" si="1">E47*F47</f>
        <v>774638.38468731253</v>
      </c>
      <c r="K47" s="18" t="s">
        <v>327</v>
      </c>
    </row>
    <row r="48" spans="2:12" ht="36" x14ac:dyDescent="0.25">
      <c r="B48" s="18">
        <v>2</v>
      </c>
      <c r="C48" s="18" t="s">
        <v>94</v>
      </c>
      <c r="D48" s="18" t="s">
        <v>95</v>
      </c>
      <c r="E48" s="18">
        <f>CALCULATOR!E41</f>
        <v>45</v>
      </c>
      <c r="F48" s="44">
        <v>1500</v>
      </c>
      <c r="J48" s="44">
        <f t="shared" si="1"/>
        <v>67500</v>
      </c>
      <c r="K48" s="43" t="s">
        <v>328</v>
      </c>
    </row>
    <row r="49" spans="2:16" x14ac:dyDescent="0.25">
      <c r="B49" s="18">
        <v>3</v>
      </c>
      <c r="C49" s="18" t="s">
        <v>124</v>
      </c>
      <c r="D49" s="18" t="s">
        <v>96</v>
      </c>
      <c r="E49" s="18">
        <v>1</v>
      </c>
      <c r="F49" s="44">
        <v>200000</v>
      </c>
      <c r="J49" s="44">
        <f t="shared" si="1"/>
        <v>200000</v>
      </c>
      <c r="K49" s="18" t="s">
        <v>324</v>
      </c>
    </row>
    <row r="50" spans="2:16" x14ac:dyDescent="0.25">
      <c r="B50" s="18">
        <v>3</v>
      </c>
      <c r="C50" s="18" t="s">
        <v>110</v>
      </c>
      <c r="D50" s="18" t="s">
        <v>96</v>
      </c>
      <c r="E50" s="64">
        <v>0.33</v>
      </c>
      <c r="F50" s="44">
        <f>F49</f>
        <v>200000</v>
      </c>
      <c r="J50" s="44">
        <f t="shared" si="1"/>
        <v>66000</v>
      </c>
      <c r="K50" s="18" t="s">
        <v>325</v>
      </c>
    </row>
    <row r="51" spans="2:16" x14ac:dyDescent="0.25">
      <c r="B51" s="18">
        <v>3</v>
      </c>
      <c r="C51" s="18" t="s">
        <v>111</v>
      </c>
      <c r="D51" s="18" t="s">
        <v>95</v>
      </c>
      <c r="E51" s="18">
        <f>E48</f>
        <v>45</v>
      </c>
      <c r="F51" s="44">
        <v>15000</v>
      </c>
      <c r="J51" s="44">
        <f t="shared" si="1"/>
        <v>675000</v>
      </c>
      <c r="K51" s="18" t="s">
        <v>323</v>
      </c>
    </row>
    <row r="52" spans="2:16" x14ac:dyDescent="0.25">
      <c r="B52" s="18">
        <v>4</v>
      </c>
      <c r="C52" s="18" t="s">
        <v>97</v>
      </c>
      <c r="D52" s="18" t="s">
        <v>96</v>
      </c>
      <c r="E52" s="65">
        <v>5.0000000000000001E-3</v>
      </c>
      <c r="F52" s="44">
        <f>J42+SUM(J47:J51)</f>
        <v>31532792.68679243</v>
      </c>
      <c r="J52" s="44">
        <f t="shared" si="1"/>
        <v>157663.96343396214</v>
      </c>
      <c r="K52" s="66" t="s">
        <v>125</v>
      </c>
    </row>
    <row r="53" spans="2:16" x14ac:dyDescent="0.25">
      <c r="B53" s="136" t="s">
        <v>99</v>
      </c>
      <c r="C53" s="136"/>
      <c r="D53" s="136"/>
      <c r="E53" s="136"/>
      <c r="F53" s="136"/>
      <c r="J53" s="67">
        <f>SUM(J47:J52)</f>
        <v>1940802.3481212745</v>
      </c>
    </row>
    <row r="55" spans="2:16" x14ac:dyDescent="0.25">
      <c r="I55" s="10" t="s">
        <v>112</v>
      </c>
      <c r="J55" s="68">
        <f>J53+J42</f>
        <v>31690456.650226392</v>
      </c>
    </row>
    <row r="56" spans="2:16" x14ac:dyDescent="0.25">
      <c r="I56" s="69" t="s">
        <v>113</v>
      </c>
      <c r="J56" s="68">
        <f>J55*CALCULATOR!E44</f>
        <v>11091659.827579236</v>
      </c>
      <c r="K56" s="70"/>
    </row>
    <row r="57" spans="2:16" x14ac:dyDescent="0.25">
      <c r="J57" s="71">
        <f>+J56+J55</f>
        <v>42782116.477805629</v>
      </c>
    </row>
    <row r="58" spans="2:16" x14ac:dyDescent="0.25">
      <c r="I58" s="69" t="s">
        <v>114</v>
      </c>
      <c r="J58" s="68">
        <f>J57*CALCULATOR!E45</f>
        <v>10695529.119451407</v>
      </c>
      <c r="K58" s="72"/>
    </row>
    <row r="59" spans="2:16" x14ac:dyDescent="0.25">
      <c r="J59" s="71">
        <f>+J58+J57</f>
        <v>53477645.597257033</v>
      </c>
    </row>
    <row r="61" spans="2:16" x14ac:dyDescent="0.25">
      <c r="I61" s="73"/>
      <c r="J61" s="74"/>
    </row>
    <row r="62" spans="2:16" ht="18.75" thickBot="1" x14ac:dyDescent="0.3">
      <c r="I62" s="75"/>
    </row>
    <row r="63" spans="2:16" ht="38.25" thickBot="1" x14ac:dyDescent="0.3">
      <c r="C63" s="40" t="s">
        <v>126</v>
      </c>
      <c r="D63" s="18"/>
      <c r="E63" s="40" t="s">
        <v>1</v>
      </c>
      <c r="F63" s="40" t="s">
        <v>2</v>
      </c>
      <c r="G63" s="62" t="s">
        <v>10</v>
      </c>
      <c r="I63" s="62" t="s">
        <v>203</v>
      </c>
      <c r="J63" s="40" t="s">
        <v>92</v>
      </c>
      <c r="M63" s="76" t="s">
        <v>188</v>
      </c>
      <c r="N63" s="77" t="s">
        <v>198</v>
      </c>
      <c r="O63" s="77" t="s">
        <v>344</v>
      </c>
      <c r="P63" s="77" t="s">
        <v>345</v>
      </c>
    </row>
    <row r="64" spans="2:16" ht="19.5" thickTop="1" thickBot="1" x14ac:dyDescent="0.3">
      <c r="C64" s="18" t="s">
        <v>199</v>
      </c>
      <c r="D64" s="18"/>
      <c r="E64" s="18" t="s">
        <v>6</v>
      </c>
      <c r="F64" s="44">
        <f>F6*2.298/1000+$F$11*(CALCULATOR!E25/100)*CALCULATOR!L6</f>
        <v>5255.6790000000001</v>
      </c>
      <c r="G64" s="44">
        <f>_xlfn.XLOOKUP(C64,$M$64:$M$70,$P$64:$P$70,0)</f>
        <v>1000</v>
      </c>
      <c r="I64" s="44">
        <f>IF(CALCULATOR!$B$50="yes",1,0)</f>
        <v>1</v>
      </c>
      <c r="J64" s="88">
        <f>G64*F64*I64</f>
        <v>5255679</v>
      </c>
      <c r="M64" s="78" t="s">
        <v>199</v>
      </c>
      <c r="N64" s="89">
        <f>CALCULATOR!E25/100</f>
        <v>8.5000000000000006E-2</v>
      </c>
      <c r="O64" s="79" t="s">
        <v>189</v>
      </c>
      <c r="P64" s="90">
        <f>CALCULATOR!E26</f>
        <v>1000</v>
      </c>
    </row>
    <row r="65" spans="3:16" ht="18.75" thickBot="1" x14ac:dyDescent="0.3">
      <c r="C65" s="18" t="s">
        <v>190</v>
      </c>
      <c r="D65" s="18"/>
      <c r="E65" s="18" t="s">
        <v>6</v>
      </c>
      <c r="F65" s="44">
        <f>$F$11*(CALCULATOR!E27/100)*CALCULATOR!L7</f>
        <v>3088.8</v>
      </c>
      <c r="G65" s="44">
        <f t="shared" ref="G65:G69" si="2">_xlfn.XLOOKUP(C65,$M$64:$M$70,$P$64:$P$70,0)</f>
        <v>1000</v>
      </c>
      <c r="I65" s="44">
        <f>IF(CALCULATOR!$B$50="yes",1,0)</f>
        <v>1</v>
      </c>
      <c r="J65" s="88">
        <f t="shared" ref="J65:J71" si="3">G65*F65*I65</f>
        <v>3088800</v>
      </c>
      <c r="M65" s="78" t="s">
        <v>190</v>
      </c>
      <c r="N65" s="89">
        <f>CALCULATOR!E27/100</f>
        <v>0.16</v>
      </c>
      <c r="O65" s="79" t="s">
        <v>189</v>
      </c>
      <c r="P65" s="90">
        <f>CALCULATOR!E28</f>
        <v>1000</v>
      </c>
    </row>
    <row r="66" spans="3:16" ht="18.75" thickBot="1" x14ac:dyDescent="0.3">
      <c r="C66" s="18" t="s">
        <v>191</v>
      </c>
      <c r="D66" s="18"/>
      <c r="E66" s="18" t="s">
        <v>6</v>
      </c>
      <c r="F66" s="44">
        <f>$F$11*(CALCULATOR!E29/100)*CALCULATOR!L8</f>
        <v>463.32</v>
      </c>
      <c r="G66" s="44">
        <f t="shared" si="2"/>
        <v>5000</v>
      </c>
      <c r="I66" s="44">
        <f>IF(CALCULATOR!$B$50="yes",1,0)</f>
        <v>1</v>
      </c>
      <c r="J66" s="88">
        <f t="shared" si="3"/>
        <v>2316600</v>
      </c>
      <c r="M66" s="78" t="s">
        <v>191</v>
      </c>
      <c r="N66" s="89">
        <f>CALCULATOR!E29/100</f>
        <v>2.4E-2</v>
      </c>
      <c r="O66" s="79" t="s">
        <v>189</v>
      </c>
      <c r="P66" s="90">
        <f>CALCULATOR!E30</f>
        <v>5000</v>
      </c>
    </row>
    <row r="67" spans="3:16" ht="18.75" thickBot="1" x14ac:dyDescent="0.3">
      <c r="C67" s="18" t="s">
        <v>197</v>
      </c>
      <c r="D67" s="18"/>
      <c r="E67" s="18" t="s">
        <v>6</v>
      </c>
      <c r="F67" s="44">
        <f>$F$11*(CALCULATOR!E31/100)*CALCULATOR!L9</f>
        <v>868.72500000000002</v>
      </c>
      <c r="G67" s="44">
        <f t="shared" si="2"/>
        <v>100</v>
      </c>
      <c r="I67" s="44">
        <f>IF(CALCULATOR!$B$50="yes",1,0)</f>
        <v>1</v>
      </c>
      <c r="J67" s="88">
        <f t="shared" si="3"/>
        <v>86872.5</v>
      </c>
      <c r="M67" s="78" t="s">
        <v>197</v>
      </c>
      <c r="N67" s="89">
        <f>CALCULATOR!E31/100</f>
        <v>4.4999999999999998E-2</v>
      </c>
      <c r="O67" s="79" t="s">
        <v>189</v>
      </c>
      <c r="P67" s="90">
        <f>CALCULATOR!E32</f>
        <v>100</v>
      </c>
    </row>
    <row r="68" spans="3:16" ht="18.75" thickBot="1" x14ac:dyDescent="0.3">
      <c r="C68" s="18" t="s">
        <v>196</v>
      </c>
      <c r="D68" s="18"/>
      <c r="E68" s="18" t="s">
        <v>6</v>
      </c>
      <c r="F68" s="44">
        <f>$F$11*(CALCULATOR!E33/100)*CALCULATOR!L10</f>
        <v>11583</v>
      </c>
      <c r="G68" s="44">
        <f t="shared" si="2"/>
        <v>30</v>
      </c>
      <c r="I68" s="44">
        <f>IF(CALCULATOR!$B$50="yes",1,0)</f>
        <v>1</v>
      </c>
      <c r="J68" s="88">
        <f t="shared" si="3"/>
        <v>347490</v>
      </c>
      <c r="M68" s="78" t="s">
        <v>196</v>
      </c>
      <c r="N68" s="89">
        <f>CALCULATOR!E33/100</f>
        <v>0.6</v>
      </c>
      <c r="O68" s="79" t="s">
        <v>189</v>
      </c>
      <c r="P68" s="90">
        <f>CALCULATOR!E34</f>
        <v>30</v>
      </c>
    </row>
    <row r="69" spans="3:16" ht="18.75" thickBot="1" x14ac:dyDescent="0.3">
      <c r="C69" s="18" t="s">
        <v>200</v>
      </c>
      <c r="D69" s="18"/>
      <c r="E69" s="18" t="s">
        <v>6</v>
      </c>
      <c r="F69" s="44">
        <f>$F$11*(CALCULATOR!E35/100)*CALCULATOR!L11</f>
        <v>19.305</v>
      </c>
      <c r="G69" s="44">
        <f t="shared" si="2"/>
        <v>250000</v>
      </c>
      <c r="I69" s="44">
        <f>IF(CALCULATOR!$B$50="yes",1,0)</f>
        <v>1</v>
      </c>
      <c r="J69" s="88">
        <f t="shared" si="3"/>
        <v>4826250</v>
      </c>
      <c r="M69" s="78" t="s">
        <v>200</v>
      </c>
      <c r="N69" s="89">
        <f>CALCULATOR!E35/100</f>
        <v>1E-3</v>
      </c>
      <c r="O69" s="79" t="s">
        <v>189</v>
      </c>
      <c r="P69" s="90">
        <f>CALCULATOR!E36</f>
        <v>250000</v>
      </c>
    </row>
    <row r="70" spans="3:16" ht="18.75" thickBot="1" x14ac:dyDescent="0.3">
      <c r="C70" s="18" t="s">
        <v>201</v>
      </c>
      <c r="D70" s="18"/>
      <c r="E70" s="18" t="s">
        <v>6</v>
      </c>
      <c r="F70" s="44">
        <f>F13+F19</f>
        <v>2529.5625</v>
      </c>
      <c r="G70" s="44">
        <v>100</v>
      </c>
      <c r="I70" s="44">
        <f>IF(CALCULATOR!$B$50="yes",1,0)</f>
        <v>1</v>
      </c>
      <c r="J70" s="88">
        <f t="shared" si="3"/>
        <v>252956.25</v>
      </c>
      <c r="M70" s="78" t="s">
        <v>195</v>
      </c>
      <c r="N70" s="89">
        <f>CALCULATOR!E37/100</f>
        <v>8.5000000000000006E-2</v>
      </c>
      <c r="O70" s="79" t="s">
        <v>192</v>
      </c>
      <c r="P70" s="90">
        <f>CALCULATOR!E38</f>
        <v>300</v>
      </c>
    </row>
    <row r="71" spans="3:16" ht="18.75" thickBot="1" x14ac:dyDescent="0.3">
      <c r="C71" s="18" t="s">
        <v>202</v>
      </c>
      <c r="D71" s="18"/>
      <c r="E71" s="18" t="s">
        <v>6</v>
      </c>
      <c r="F71" s="44">
        <f>(F37+F31+F24+F18)*CALCULATOR!L13</f>
        <v>1836.375</v>
      </c>
      <c r="G71" s="44">
        <v>20</v>
      </c>
      <c r="I71" s="44">
        <f>IF(CALCULATOR!$B$50="yes",1,0)</f>
        <v>1</v>
      </c>
      <c r="J71" s="88">
        <f t="shared" si="3"/>
        <v>36727.5</v>
      </c>
      <c r="M71" s="80" t="s">
        <v>193</v>
      </c>
      <c r="N71" s="81">
        <f>SUM(N64:N70)</f>
        <v>0.99999999999999989</v>
      </c>
      <c r="O71" s="82"/>
      <c r="P71" s="83"/>
    </row>
    <row r="72" spans="3:16" x14ac:dyDescent="0.25">
      <c r="I72" s="75"/>
      <c r="M72" s="84" t="s">
        <v>346</v>
      </c>
    </row>
    <row r="73" spans="3:16" x14ac:dyDescent="0.25">
      <c r="I73" s="75" t="s">
        <v>115</v>
      </c>
      <c r="J73" s="67">
        <f>SUM(J64:J72)</f>
        <v>16211375.25</v>
      </c>
      <c r="M73" s="84" t="s">
        <v>194</v>
      </c>
    </row>
    <row r="74" spans="3:16" x14ac:dyDescent="0.25">
      <c r="I74" s="75"/>
      <c r="M74" s="84" t="s">
        <v>347</v>
      </c>
    </row>
    <row r="75" spans="3:16" x14ac:dyDescent="0.25">
      <c r="I75" s="75"/>
      <c r="M75" s="84" t="s">
        <v>348</v>
      </c>
    </row>
    <row r="76" spans="3:16" x14ac:dyDescent="0.25">
      <c r="I76" s="85" t="s">
        <v>176</v>
      </c>
      <c r="J76" s="71">
        <f>J59-J73</f>
        <v>37266270.347257033</v>
      </c>
    </row>
    <row r="77" spans="3:16" x14ac:dyDescent="0.25">
      <c r="I77" s="86"/>
      <c r="J77" s="87"/>
    </row>
  </sheetData>
  <sheetProtection algorithmName="SHA-512" hashValue="j8hM7x81R4JOhABmYtFoLqrYFUbOCGr/AF4rUwRElsoA1zra+Wa80I1KhyRjIkAtWvo0/Atjy17F3Na5IRPhBw==" saltValue="6cGB33NPct26ExApBMWrug==" spinCount="100000" sheet="1" objects="1" scenarios="1" selectLockedCells="1"/>
  <mergeCells count="16">
    <mergeCell ref="M4:M21"/>
    <mergeCell ref="B9:B15"/>
    <mergeCell ref="C9:C15"/>
    <mergeCell ref="B3:K3"/>
    <mergeCell ref="B53:F53"/>
    <mergeCell ref="B42:I42"/>
    <mergeCell ref="B17:B19"/>
    <mergeCell ref="C17:C19"/>
    <mergeCell ref="B20:B26"/>
    <mergeCell ref="C20:C26"/>
    <mergeCell ref="B32:B34"/>
    <mergeCell ref="C32:C34"/>
    <mergeCell ref="B35:B37"/>
    <mergeCell ref="C35:C37"/>
    <mergeCell ref="B27:B31"/>
    <mergeCell ref="C27:C3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1D50C-7A3A-4F7F-8362-DBE3CB1F7BB9}">
  <dimension ref="B2:O109"/>
  <sheetViews>
    <sheetView topLeftCell="B1" workbookViewId="0">
      <selection activeCell="D4" sqref="D4"/>
    </sheetView>
  </sheetViews>
  <sheetFormatPr defaultColWidth="8.85546875" defaultRowHeight="18" x14ac:dyDescent="0.25"/>
  <cols>
    <col min="1" max="1" width="8.85546875" style="10"/>
    <col min="2" max="2" width="24.28515625" style="10" customWidth="1"/>
    <col min="3" max="4" width="8.85546875" style="10"/>
    <col min="5" max="5" width="24.5703125" style="10" customWidth="1"/>
    <col min="6" max="6" width="2.140625" style="10" customWidth="1"/>
    <col min="7" max="7" width="45.5703125" style="10" customWidth="1"/>
    <col min="8" max="8" width="8.85546875" style="10"/>
    <col min="9" max="9" width="29" style="10" customWidth="1"/>
    <col min="10" max="10" width="21.140625" style="10" customWidth="1"/>
    <col min="11" max="13" width="8.85546875" style="10" customWidth="1"/>
    <col min="14" max="14" width="25.5703125" style="58" customWidth="1"/>
    <col min="15" max="15" width="103.28515625" style="10" customWidth="1"/>
    <col min="16" max="16384" width="8.85546875" style="10"/>
  </cols>
  <sheetData>
    <row r="2" spans="2:15" ht="27" customHeight="1" x14ac:dyDescent="0.25">
      <c r="B2" s="139" t="s">
        <v>20</v>
      </c>
      <c r="C2" s="140"/>
      <c r="D2" s="140"/>
      <c r="E2" s="141"/>
      <c r="G2" s="39" t="s">
        <v>245</v>
      </c>
      <c r="I2" s="139" t="s">
        <v>28</v>
      </c>
      <c r="J2" s="140"/>
      <c r="K2" s="140"/>
      <c r="L2" s="140"/>
      <c r="M2" s="140"/>
      <c r="N2" s="140"/>
      <c r="O2" s="141"/>
    </row>
    <row r="3" spans="2:15" ht="45.95" customHeight="1" x14ac:dyDescent="0.25">
      <c r="B3" s="18" t="s">
        <v>0</v>
      </c>
      <c r="C3" s="18" t="s">
        <v>1</v>
      </c>
      <c r="D3" s="18" t="s">
        <v>10</v>
      </c>
      <c r="E3" s="18" t="s">
        <v>3</v>
      </c>
      <c r="G3" s="111" t="s">
        <v>268</v>
      </c>
      <c r="I3" s="56" t="s">
        <v>0</v>
      </c>
      <c r="J3" s="56" t="s">
        <v>24</v>
      </c>
      <c r="K3" s="56" t="s">
        <v>1</v>
      </c>
      <c r="L3" s="56" t="s">
        <v>21</v>
      </c>
      <c r="M3" s="56" t="s">
        <v>10</v>
      </c>
      <c r="N3" s="91" t="s">
        <v>25</v>
      </c>
      <c r="O3" s="91" t="s">
        <v>3</v>
      </c>
    </row>
    <row r="4" spans="2:15" x14ac:dyDescent="0.25">
      <c r="B4" s="18" t="s">
        <v>11</v>
      </c>
      <c r="C4" s="138" t="s">
        <v>19</v>
      </c>
      <c r="D4" s="92">
        <v>65</v>
      </c>
      <c r="E4" s="18" t="s">
        <v>12</v>
      </c>
      <c r="G4" s="147" t="s">
        <v>307</v>
      </c>
      <c r="I4" s="18" t="s">
        <v>26</v>
      </c>
      <c r="J4" s="18" t="s">
        <v>13</v>
      </c>
      <c r="K4" s="18" t="s">
        <v>23</v>
      </c>
      <c r="L4" s="18">
        <f>$D$10*4</f>
        <v>40</v>
      </c>
      <c r="M4" s="18">
        <f>VLOOKUP(J4,$B$4:$E$8,3,0)</f>
        <v>82</v>
      </c>
      <c r="N4" s="51">
        <f>L4*M4</f>
        <v>3280</v>
      </c>
      <c r="O4" s="18" t="s">
        <v>100</v>
      </c>
    </row>
    <row r="5" spans="2:15" x14ac:dyDescent="0.25">
      <c r="B5" s="18" t="s">
        <v>17</v>
      </c>
      <c r="C5" s="138"/>
      <c r="D5" s="92">
        <v>75</v>
      </c>
      <c r="E5" s="18" t="s">
        <v>18</v>
      </c>
      <c r="G5" s="148"/>
      <c r="I5" s="93" t="s">
        <v>27</v>
      </c>
      <c r="J5" s="18"/>
      <c r="K5" s="18"/>
      <c r="L5" s="18"/>
      <c r="M5" s="18"/>
      <c r="N5" s="94">
        <f>N4</f>
        <v>3280</v>
      </c>
      <c r="O5" s="18"/>
    </row>
    <row r="6" spans="2:15" x14ac:dyDescent="0.25">
      <c r="B6" s="18" t="s">
        <v>13</v>
      </c>
      <c r="C6" s="138"/>
      <c r="D6" s="92">
        <v>82</v>
      </c>
      <c r="E6" s="18" t="s">
        <v>14</v>
      </c>
      <c r="G6" s="148"/>
      <c r="I6" s="95"/>
      <c r="J6" s="95"/>
      <c r="K6" s="95"/>
      <c r="L6" s="95"/>
      <c r="M6" s="95"/>
      <c r="N6" s="96"/>
      <c r="O6" s="95"/>
    </row>
    <row r="7" spans="2:15" x14ac:dyDescent="0.25">
      <c r="B7" s="18" t="s">
        <v>15</v>
      </c>
      <c r="C7" s="138"/>
      <c r="D7" s="92">
        <v>86</v>
      </c>
      <c r="E7" s="18" t="s">
        <v>16</v>
      </c>
      <c r="G7" s="148"/>
      <c r="I7" s="18" t="s">
        <v>36</v>
      </c>
      <c r="J7" s="18" t="s">
        <v>33</v>
      </c>
      <c r="K7" s="18" t="s">
        <v>23</v>
      </c>
      <c r="L7" s="18">
        <f>$D$10*1</f>
        <v>10</v>
      </c>
      <c r="M7" s="18">
        <f>VLOOKUP(J7,$B$15:$E$33,3,0)</f>
        <v>175</v>
      </c>
      <c r="N7" s="51">
        <f t="shared" ref="N7:N11" si="0">L7*M7</f>
        <v>1750</v>
      </c>
      <c r="O7" s="18"/>
    </row>
    <row r="8" spans="2:15" x14ac:dyDescent="0.25">
      <c r="B8" s="18" t="s">
        <v>30</v>
      </c>
      <c r="C8" s="138"/>
      <c r="D8" s="92">
        <v>110</v>
      </c>
      <c r="E8" s="18" t="s">
        <v>30</v>
      </c>
      <c r="G8" s="149"/>
      <c r="I8" s="18" t="s">
        <v>38</v>
      </c>
      <c r="J8" s="18" t="s">
        <v>49</v>
      </c>
      <c r="K8" s="18" t="s">
        <v>23</v>
      </c>
      <c r="L8" s="18">
        <f>$D$10*1</f>
        <v>10</v>
      </c>
      <c r="M8" s="18">
        <f>VLOOKUP(J8,$B$15:$E$33,3,0)/$D$10</f>
        <v>20</v>
      </c>
      <c r="N8" s="51">
        <f t="shared" si="0"/>
        <v>200</v>
      </c>
      <c r="O8" s="18"/>
    </row>
    <row r="9" spans="2:15" x14ac:dyDescent="0.25">
      <c r="I9" s="18" t="s">
        <v>40</v>
      </c>
      <c r="J9" s="18" t="s">
        <v>35</v>
      </c>
      <c r="K9" s="18" t="s">
        <v>23</v>
      </c>
      <c r="L9" s="18">
        <f>$D$10*2</f>
        <v>20</v>
      </c>
      <c r="M9" s="18">
        <f>VLOOKUP(J9,$B$15:$E$33,3,0)</f>
        <v>150</v>
      </c>
      <c r="N9" s="51">
        <f t="shared" si="0"/>
        <v>3000</v>
      </c>
      <c r="O9" s="18" t="s">
        <v>41</v>
      </c>
    </row>
    <row r="10" spans="2:15" x14ac:dyDescent="0.25">
      <c r="B10" s="10" t="s">
        <v>22</v>
      </c>
      <c r="C10" s="10" t="s">
        <v>23</v>
      </c>
      <c r="D10" s="10">
        <v>10</v>
      </c>
      <c r="I10" s="18" t="s">
        <v>39</v>
      </c>
      <c r="J10" s="18" t="s">
        <v>11</v>
      </c>
      <c r="K10" s="18" t="s">
        <v>23</v>
      </c>
      <c r="L10" s="18">
        <f>$D$10*2</f>
        <v>20</v>
      </c>
      <c r="M10" s="18">
        <f>VLOOKUP(J10,$B$4:$E$8,3,0)</f>
        <v>65</v>
      </c>
      <c r="N10" s="51">
        <f t="shared" si="0"/>
        <v>1300</v>
      </c>
      <c r="O10" s="18" t="s">
        <v>122</v>
      </c>
    </row>
    <row r="11" spans="2:15" x14ac:dyDescent="0.25">
      <c r="I11" s="18" t="s">
        <v>42</v>
      </c>
      <c r="J11" s="18" t="s">
        <v>31</v>
      </c>
      <c r="K11" s="18" t="s">
        <v>23</v>
      </c>
      <c r="L11" s="18">
        <f>$D$10*2</f>
        <v>20</v>
      </c>
      <c r="M11" s="18">
        <f>VLOOKUP(J11,$B$15:$E$33,3,0)</f>
        <v>15</v>
      </c>
      <c r="N11" s="51">
        <f t="shared" si="0"/>
        <v>300</v>
      </c>
      <c r="O11" s="18"/>
    </row>
    <row r="12" spans="2:15" x14ac:dyDescent="0.25">
      <c r="I12" s="93" t="s">
        <v>43</v>
      </c>
      <c r="J12" s="18"/>
      <c r="K12" s="18"/>
      <c r="L12" s="18"/>
      <c r="M12" s="18"/>
      <c r="N12" s="94">
        <f>SUM(N7:N11)</f>
        <v>6550</v>
      </c>
      <c r="O12" s="18"/>
    </row>
    <row r="13" spans="2:15" ht="18.75" x14ac:dyDescent="0.25">
      <c r="B13" s="142" t="s">
        <v>32</v>
      </c>
      <c r="C13" s="142"/>
      <c r="D13" s="142"/>
      <c r="E13" s="142"/>
      <c r="I13" s="95"/>
      <c r="J13" s="95"/>
      <c r="K13" s="95"/>
      <c r="L13" s="95"/>
      <c r="M13" s="95"/>
      <c r="N13" s="96"/>
      <c r="O13" s="95"/>
    </row>
    <row r="14" spans="2:15" ht="19.899999999999999" customHeight="1" x14ac:dyDescent="0.25">
      <c r="B14" s="18" t="s">
        <v>0</v>
      </c>
      <c r="C14" s="18" t="s">
        <v>1</v>
      </c>
      <c r="D14" s="18" t="s">
        <v>10</v>
      </c>
      <c r="E14" s="18" t="s">
        <v>3</v>
      </c>
      <c r="I14" s="18" t="s">
        <v>44</v>
      </c>
      <c r="J14" s="18" t="s">
        <v>50</v>
      </c>
      <c r="K14" s="18" t="s">
        <v>23</v>
      </c>
      <c r="L14" s="18">
        <f>$D$10*1</f>
        <v>10</v>
      </c>
      <c r="M14" s="18">
        <f>VLOOKUP(J14,$B$15:$E$33,3,0)</f>
        <v>160</v>
      </c>
      <c r="N14" s="51">
        <f t="shared" ref="N14:N18" si="1">L14*M14</f>
        <v>1600</v>
      </c>
      <c r="O14" s="18"/>
    </row>
    <row r="15" spans="2:15" ht="15" customHeight="1" x14ac:dyDescent="0.25">
      <c r="B15" s="18" t="s">
        <v>33</v>
      </c>
      <c r="C15" s="18" t="s">
        <v>23</v>
      </c>
      <c r="D15" s="19">
        <v>175</v>
      </c>
      <c r="E15" s="19"/>
      <c r="G15" s="144" t="s">
        <v>308</v>
      </c>
      <c r="I15" s="18" t="s">
        <v>40</v>
      </c>
      <c r="J15" s="18" t="s">
        <v>35</v>
      </c>
      <c r="K15" s="18" t="s">
        <v>23</v>
      </c>
      <c r="L15" s="18">
        <f>$D$10*2</f>
        <v>20</v>
      </c>
      <c r="M15" s="18">
        <f>VLOOKUP(J15,$B$15:$E$33,3,0)</f>
        <v>150</v>
      </c>
      <c r="N15" s="51">
        <f t="shared" si="1"/>
        <v>3000</v>
      </c>
      <c r="O15" s="18" t="s">
        <v>41</v>
      </c>
    </row>
    <row r="16" spans="2:15" x14ac:dyDescent="0.25">
      <c r="B16" s="18" t="s">
        <v>50</v>
      </c>
      <c r="C16" s="18" t="s">
        <v>23</v>
      </c>
      <c r="D16" s="19">
        <v>160</v>
      </c>
      <c r="E16" s="19"/>
      <c r="G16" s="145"/>
      <c r="I16" s="18" t="s">
        <v>39</v>
      </c>
      <c r="J16" s="18" t="s">
        <v>11</v>
      </c>
      <c r="K16" s="18" t="s">
        <v>23</v>
      </c>
      <c r="L16" s="18">
        <f>$D$10*2</f>
        <v>20</v>
      </c>
      <c r="M16" s="18">
        <f>VLOOKUP(J16,$B$4:$E$8,3,0)</f>
        <v>65</v>
      </c>
      <c r="N16" s="51">
        <f t="shared" si="1"/>
        <v>1300</v>
      </c>
      <c r="O16" s="18" t="s">
        <v>121</v>
      </c>
    </row>
    <row r="17" spans="2:15" x14ac:dyDescent="0.25">
      <c r="B17" s="18" t="s">
        <v>147</v>
      </c>
      <c r="C17" s="18" t="s">
        <v>23</v>
      </c>
      <c r="D17" s="19">
        <v>135</v>
      </c>
      <c r="E17" s="19"/>
      <c r="G17" s="145"/>
      <c r="I17" s="18" t="s">
        <v>45</v>
      </c>
      <c r="J17" s="18" t="s">
        <v>47</v>
      </c>
      <c r="K17" s="18" t="s">
        <v>23</v>
      </c>
      <c r="L17" s="18">
        <f>$D$10*1</f>
        <v>10</v>
      </c>
      <c r="M17" s="18">
        <f>VLOOKUP(J17,$B$15:$E$33,3,0)</f>
        <v>120</v>
      </c>
      <c r="N17" s="51">
        <f t="shared" si="1"/>
        <v>1200</v>
      </c>
      <c r="O17" s="18"/>
    </row>
    <row r="18" spans="2:15" x14ac:dyDescent="0.25">
      <c r="B18" s="18" t="s">
        <v>148</v>
      </c>
      <c r="C18" s="18" t="s">
        <v>34</v>
      </c>
      <c r="D18" s="19">
        <v>120</v>
      </c>
      <c r="E18" s="19"/>
      <c r="G18" s="145"/>
      <c r="I18" s="18" t="s">
        <v>48</v>
      </c>
      <c r="J18" s="18" t="s">
        <v>46</v>
      </c>
      <c r="K18" s="18" t="s">
        <v>23</v>
      </c>
      <c r="L18" s="18">
        <f>$D$10*1</f>
        <v>10</v>
      </c>
      <c r="M18" s="18">
        <f>VLOOKUP(J18,$B$15:$E$33,3,0)</f>
        <v>130</v>
      </c>
      <c r="N18" s="51">
        <f t="shared" si="1"/>
        <v>1300</v>
      </c>
      <c r="O18" s="18"/>
    </row>
    <row r="19" spans="2:15" x14ac:dyDescent="0.25">
      <c r="B19" s="18" t="s">
        <v>35</v>
      </c>
      <c r="C19" s="18" t="s">
        <v>23</v>
      </c>
      <c r="D19" s="19">
        <v>150</v>
      </c>
      <c r="E19" s="19"/>
      <c r="G19" s="145"/>
      <c r="I19" s="18"/>
      <c r="J19" s="18"/>
      <c r="K19" s="18"/>
      <c r="L19" s="18"/>
      <c r="M19" s="18"/>
      <c r="N19" s="51"/>
      <c r="O19" s="18"/>
    </row>
    <row r="20" spans="2:15" x14ac:dyDescent="0.25">
      <c r="B20" s="18" t="s">
        <v>47</v>
      </c>
      <c r="C20" s="18" t="s">
        <v>23</v>
      </c>
      <c r="D20" s="19">
        <v>120</v>
      </c>
      <c r="E20" s="19"/>
      <c r="G20" s="145"/>
      <c r="I20" s="93" t="s">
        <v>118</v>
      </c>
      <c r="J20" s="18"/>
      <c r="K20" s="18"/>
      <c r="L20" s="18"/>
      <c r="M20" s="18"/>
      <c r="N20" s="94">
        <f>SUM(N14:N18)</f>
        <v>8400</v>
      </c>
      <c r="O20" s="18"/>
    </row>
    <row r="21" spans="2:15" x14ac:dyDescent="0.25">
      <c r="B21" s="18" t="s">
        <v>46</v>
      </c>
      <c r="C21" s="18" t="s">
        <v>23</v>
      </c>
      <c r="D21" s="19">
        <v>130</v>
      </c>
      <c r="E21" s="19"/>
      <c r="G21" s="145"/>
      <c r="I21" s="95"/>
      <c r="J21" s="95"/>
      <c r="K21" s="95"/>
      <c r="L21" s="95"/>
      <c r="M21" s="95"/>
      <c r="N21" s="96"/>
      <c r="O21" s="95"/>
    </row>
    <row r="22" spans="2:15" x14ac:dyDescent="0.25">
      <c r="B22" s="18" t="s">
        <v>53</v>
      </c>
      <c r="C22" s="18" t="s">
        <v>23</v>
      </c>
      <c r="D22" s="19">
        <v>210</v>
      </c>
      <c r="E22" s="19"/>
      <c r="G22" s="145"/>
      <c r="I22" s="18" t="s">
        <v>44</v>
      </c>
      <c r="J22" s="18" t="s">
        <v>50</v>
      </c>
      <c r="K22" s="18" t="s">
        <v>23</v>
      </c>
      <c r="L22" s="18">
        <f>$D$10*1</f>
        <v>10</v>
      </c>
      <c r="M22" s="18">
        <f>VLOOKUP(J22,$B$15:$E$33,3,0)</f>
        <v>160</v>
      </c>
      <c r="N22" s="51">
        <f t="shared" ref="N22:N27" si="2">L22*M22</f>
        <v>1600</v>
      </c>
      <c r="O22" s="18"/>
    </row>
    <row r="23" spans="2:15" x14ac:dyDescent="0.25">
      <c r="B23" s="18" t="s">
        <v>31</v>
      </c>
      <c r="C23" s="18" t="s">
        <v>23</v>
      </c>
      <c r="D23" s="19">
        <v>15</v>
      </c>
      <c r="E23" s="19"/>
      <c r="G23" s="145"/>
      <c r="I23" s="18" t="s">
        <v>40</v>
      </c>
      <c r="J23" s="18" t="s">
        <v>35</v>
      </c>
      <c r="K23" s="18" t="s">
        <v>23</v>
      </c>
      <c r="L23" s="18">
        <f>$D$10*2</f>
        <v>20</v>
      </c>
      <c r="M23" s="18">
        <f>VLOOKUP(J23,$B$15:$E$33,3,0)</f>
        <v>150</v>
      </c>
      <c r="N23" s="51">
        <f t="shared" si="2"/>
        <v>3000</v>
      </c>
      <c r="O23" s="18" t="s">
        <v>41</v>
      </c>
    </row>
    <row r="24" spans="2:15" x14ac:dyDescent="0.25">
      <c r="B24" s="18" t="s">
        <v>138</v>
      </c>
      <c r="C24" s="18" t="s">
        <v>23</v>
      </c>
      <c r="D24" s="19">
        <v>300</v>
      </c>
      <c r="E24" s="19"/>
      <c r="G24" s="145"/>
      <c r="I24" s="18" t="s">
        <v>52</v>
      </c>
      <c r="J24" s="18" t="s">
        <v>53</v>
      </c>
      <c r="K24" s="18" t="s">
        <v>23</v>
      </c>
      <c r="L24" s="18">
        <f>$D$10*1</f>
        <v>10</v>
      </c>
      <c r="M24" s="18">
        <f>VLOOKUP(J24,$B$15:$E$33,3,0)</f>
        <v>210</v>
      </c>
      <c r="N24" s="51">
        <f t="shared" si="2"/>
        <v>2100</v>
      </c>
      <c r="O24" s="18"/>
    </row>
    <row r="25" spans="2:15" x14ac:dyDescent="0.25">
      <c r="B25" s="18" t="s">
        <v>139</v>
      </c>
      <c r="C25" s="18" t="s">
        <v>34</v>
      </c>
      <c r="D25" s="19">
        <v>420</v>
      </c>
      <c r="E25" s="19"/>
      <c r="G25" s="145"/>
      <c r="I25" s="18" t="s">
        <v>45</v>
      </c>
      <c r="J25" s="18" t="s">
        <v>47</v>
      </c>
      <c r="K25" s="18" t="s">
        <v>23</v>
      </c>
      <c r="L25" s="18">
        <f>$D$10*1</f>
        <v>10</v>
      </c>
      <c r="M25" s="18">
        <f>VLOOKUP(J25,$B$15:$E$33,3,0)</f>
        <v>120</v>
      </c>
      <c r="N25" s="51">
        <f t="shared" si="2"/>
        <v>1200</v>
      </c>
      <c r="O25" s="18"/>
    </row>
    <row r="26" spans="2:15" x14ac:dyDescent="0.25">
      <c r="B26" s="18" t="s">
        <v>57</v>
      </c>
      <c r="C26" s="18" t="s">
        <v>23</v>
      </c>
      <c r="D26" s="19">
        <v>850</v>
      </c>
      <c r="E26" s="19"/>
      <c r="G26" s="145"/>
      <c r="I26" s="18" t="s">
        <v>48</v>
      </c>
      <c r="J26" s="18" t="s">
        <v>46</v>
      </c>
      <c r="K26" s="18" t="s">
        <v>23</v>
      </c>
      <c r="L26" s="18">
        <f>$D$10*1</f>
        <v>10</v>
      </c>
      <c r="M26" s="18">
        <f>VLOOKUP(J26,$B$15:$E$33,3,0)</f>
        <v>130</v>
      </c>
      <c r="N26" s="51">
        <f t="shared" si="2"/>
        <v>1300</v>
      </c>
      <c r="O26" s="18"/>
    </row>
    <row r="27" spans="2:15" x14ac:dyDescent="0.25">
      <c r="B27" s="18" t="s">
        <v>107</v>
      </c>
      <c r="C27" s="18" t="s">
        <v>23</v>
      </c>
      <c r="D27" s="19">
        <v>750</v>
      </c>
      <c r="E27" s="19"/>
      <c r="G27" s="145"/>
      <c r="I27" s="18" t="s">
        <v>39</v>
      </c>
      <c r="J27" s="18" t="s">
        <v>11</v>
      </c>
      <c r="K27" s="18" t="s">
        <v>23</v>
      </c>
      <c r="L27" s="18">
        <f>$D$10*1</f>
        <v>10</v>
      </c>
      <c r="M27" s="18">
        <f>VLOOKUP(J27,$B$4:$E$8,3,0)</f>
        <v>65</v>
      </c>
      <c r="N27" s="51">
        <f t="shared" si="2"/>
        <v>650</v>
      </c>
      <c r="O27" s="18"/>
    </row>
    <row r="28" spans="2:15" x14ac:dyDescent="0.25">
      <c r="B28" s="18" t="s">
        <v>49</v>
      </c>
      <c r="C28" s="18" t="s">
        <v>34</v>
      </c>
      <c r="D28" s="19">
        <v>200</v>
      </c>
      <c r="E28" s="19"/>
      <c r="G28" s="145"/>
      <c r="I28" s="93" t="s">
        <v>54</v>
      </c>
      <c r="J28" s="18"/>
      <c r="K28" s="18"/>
      <c r="L28" s="18"/>
      <c r="M28" s="18"/>
      <c r="N28" s="94">
        <f>SUM(N22:N27)</f>
        <v>9850</v>
      </c>
      <c r="O28" s="18"/>
    </row>
    <row r="29" spans="2:15" x14ac:dyDescent="0.25">
      <c r="B29" s="18" t="s">
        <v>294</v>
      </c>
      <c r="C29" s="18" t="s">
        <v>23</v>
      </c>
      <c r="D29" s="19">
        <v>175</v>
      </c>
      <c r="E29" s="19"/>
      <c r="G29" s="145"/>
      <c r="I29" s="95"/>
      <c r="J29" s="95"/>
      <c r="K29" s="95"/>
      <c r="L29" s="95"/>
      <c r="M29" s="95"/>
      <c r="N29" s="96"/>
      <c r="O29" s="95"/>
    </row>
    <row r="30" spans="2:15" x14ac:dyDescent="0.25">
      <c r="B30" s="18" t="s">
        <v>63</v>
      </c>
      <c r="C30" s="18" t="s">
        <v>23</v>
      </c>
      <c r="D30" s="19">
        <v>175</v>
      </c>
      <c r="E30" s="19"/>
      <c r="G30" s="145"/>
      <c r="I30" s="18" t="s">
        <v>36</v>
      </c>
      <c r="J30" s="18" t="s">
        <v>33</v>
      </c>
      <c r="K30" s="18" t="s">
        <v>23</v>
      </c>
      <c r="L30" s="18">
        <f>$D$10*1</f>
        <v>10</v>
      </c>
      <c r="M30" s="18">
        <f>VLOOKUP(J30,$B$15:$E$33,3,0)</f>
        <v>175</v>
      </c>
      <c r="N30" s="51">
        <f t="shared" ref="N30:N34" si="3">L30*M30</f>
        <v>1750</v>
      </c>
      <c r="O30" s="97"/>
    </row>
    <row r="31" spans="2:15" x14ac:dyDescent="0.25">
      <c r="B31" s="18" t="s">
        <v>51</v>
      </c>
      <c r="C31" s="18" t="s">
        <v>34</v>
      </c>
      <c r="D31" s="19">
        <v>150</v>
      </c>
      <c r="E31" s="19"/>
      <c r="G31" s="145"/>
      <c r="I31" s="18" t="s">
        <v>161</v>
      </c>
      <c r="J31" s="18" t="s">
        <v>49</v>
      </c>
      <c r="K31" s="18" t="s">
        <v>23</v>
      </c>
      <c r="L31" s="18">
        <f>$D$10*1</f>
        <v>10</v>
      </c>
      <c r="M31" s="18">
        <f>VLOOKUP(J31,$B$15:$E$33,3,0)</f>
        <v>200</v>
      </c>
      <c r="N31" s="51">
        <f t="shared" si="3"/>
        <v>2000</v>
      </c>
      <c r="O31" s="18"/>
    </row>
    <row r="32" spans="2:15" x14ac:dyDescent="0.25">
      <c r="B32" s="18" t="s">
        <v>120</v>
      </c>
      <c r="C32" s="18" t="s">
        <v>23</v>
      </c>
      <c r="D32" s="19">
        <v>12</v>
      </c>
      <c r="E32" s="19"/>
      <c r="G32" s="146"/>
      <c r="I32" s="18" t="s">
        <v>40</v>
      </c>
      <c r="J32" s="18" t="s">
        <v>35</v>
      </c>
      <c r="K32" s="18" t="s">
        <v>23</v>
      </c>
      <c r="L32" s="18">
        <f>$D$10*2</f>
        <v>20</v>
      </c>
      <c r="M32" s="18">
        <f>VLOOKUP(J32,$B$15:$E$33,3,0)</f>
        <v>150</v>
      </c>
      <c r="N32" s="51">
        <f t="shared" si="3"/>
        <v>3000</v>
      </c>
      <c r="O32" s="18"/>
    </row>
    <row r="33" spans="2:15" x14ac:dyDescent="0.25">
      <c r="I33" s="18" t="s">
        <v>39</v>
      </c>
      <c r="J33" s="18" t="s">
        <v>11</v>
      </c>
      <c r="K33" s="18" t="s">
        <v>23</v>
      </c>
      <c r="L33" s="18">
        <f>$D$10*4</f>
        <v>40</v>
      </c>
      <c r="M33" s="18">
        <f>VLOOKUP(J33,$B$4:$E$8,3,0)</f>
        <v>65</v>
      </c>
      <c r="N33" s="51">
        <f t="shared" si="3"/>
        <v>2600</v>
      </c>
      <c r="O33" s="18"/>
    </row>
    <row r="34" spans="2:15" x14ac:dyDescent="0.25">
      <c r="B34" s="143" t="s">
        <v>76</v>
      </c>
      <c r="C34" s="143"/>
      <c r="D34" s="143"/>
      <c r="I34" s="18" t="s">
        <v>42</v>
      </c>
      <c r="J34" s="18" t="s">
        <v>31</v>
      </c>
      <c r="K34" s="18" t="s">
        <v>23</v>
      </c>
      <c r="L34" s="18">
        <f>$D$10*1</f>
        <v>10</v>
      </c>
      <c r="M34" s="18">
        <f>VLOOKUP(J34,$B$15:$E$33,3,0)</f>
        <v>15</v>
      </c>
      <c r="N34" s="51">
        <f t="shared" si="3"/>
        <v>150</v>
      </c>
      <c r="O34" s="18"/>
    </row>
    <row r="35" spans="2:15" x14ac:dyDescent="0.25">
      <c r="B35" s="18" t="s">
        <v>68</v>
      </c>
      <c r="C35" s="18" t="s">
        <v>8</v>
      </c>
      <c r="D35" s="18">
        <f>CALCULATOR!E39</f>
        <v>450</v>
      </c>
      <c r="G35" s="151" t="s">
        <v>309</v>
      </c>
      <c r="I35" s="93" t="s">
        <v>55</v>
      </c>
      <c r="J35" s="18"/>
      <c r="K35" s="18"/>
      <c r="L35" s="18"/>
      <c r="M35" s="18"/>
      <c r="N35" s="94">
        <f>SUM(N30:N34)</f>
        <v>9500</v>
      </c>
      <c r="O35" s="18" t="str">
        <f>SUM(L33/10)&amp;" man crew"</f>
        <v>4 man crew</v>
      </c>
    </row>
    <row r="36" spans="2:15" x14ac:dyDescent="0.25">
      <c r="B36" s="18" t="s">
        <v>69</v>
      </c>
      <c r="C36" s="18" t="s">
        <v>70</v>
      </c>
      <c r="D36" s="18">
        <v>80</v>
      </c>
      <c r="G36" s="152"/>
      <c r="I36" s="95"/>
      <c r="J36" s="95"/>
      <c r="K36" s="95"/>
      <c r="L36" s="95"/>
      <c r="M36" s="95"/>
      <c r="N36" s="96"/>
      <c r="O36" s="95"/>
    </row>
    <row r="37" spans="2:15" x14ac:dyDescent="0.25">
      <c r="B37" s="18" t="s">
        <v>65</v>
      </c>
      <c r="C37" s="18" t="s">
        <v>6</v>
      </c>
      <c r="D37" s="18">
        <v>30</v>
      </c>
      <c r="G37" s="152"/>
      <c r="I37" s="18" t="s">
        <v>56</v>
      </c>
      <c r="J37" s="18" t="s">
        <v>138</v>
      </c>
      <c r="K37" s="18" t="s">
        <v>23</v>
      </c>
      <c r="L37" s="18">
        <f>$D$10*(MAX(G46:H46))*2</f>
        <v>0</v>
      </c>
      <c r="M37" s="18">
        <f>VLOOKUP(J37,$B$15:$E$33,3,0)</f>
        <v>300</v>
      </c>
      <c r="N37" s="51">
        <f t="shared" ref="N37:N40" si="4">L37*M37</f>
        <v>0</v>
      </c>
      <c r="O37" s="18"/>
    </row>
    <row r="38" spans="2:15" x14ac:dyDescent="0.25">
      <c r="B38" s="18" t="s">
        <v>66</v>
      </c>
      <c r="C38" s="18" t="s">
        <v>67</v>
      </c>
      <c r="D38" s="18">
        <v>15</v>
      </c>
      <c r="G38" s="152"/>
      <c r="I38" s="18" t="s">
        <v>139</v>
      </c>
      <c r="J38" s="18" t="s">
        <v>139</v>
      </c>
      <c r="K38" s="18" t="s">
        <v>34</v>
      </c>
      <c r="L38" s="18">
        <f t="shared" ref="L38" si="5">$D$10*1</f>
        <v>10</v>
      </c>
      <c r="M38" s="18">
        <f>VLOOKUP(J38,$B$15:$E$33,3,0)/$D$10</f>
        <v>42</v>
      </c>
      <c r="N38" s="51">
        <f t="shared" si="4"/>
        <v>420</v>
      </c>
      <c r="O38" s="18"/>
    </row>
    <row r="39" spans="2:15" x14ac:dyDescent="0.25">
      <c r="B39" s="18" t="s">
        <v>71</v>
      </c>
      <c r="C39" s="18" t="s">
        <v>73</v>
      </c>
      <c r="D39" s="98">
        <f>D37/(D38*1.8)*60</f>
        <v>66.666666666666671</v>
      </c>
      <c r="G39" s="152"/>
      <c r="I39" s="18" t="s">
        <v>58</v>
      </c>
      <c r="J39" s="18" t="s">
        <v>17</v>
      </c>
      <c r="K39" s="18" t="s">
        <v>23</v>
      </c>
      <c r="L39" s="18">
        <f>$D$10*4</f>
        <v>40</v>
      </c>
      <c r="M39" s="18">
        <f t="shared" ref="M39:M40" si="6">VLOOKUP(J39,$B$4:$E$8,3,0)</f>
        <v>75</v>
      </c>
      <c r="N39" s="51">
        <f t="shared" si="4"/>
        <v>3000</v>
      </c>
      <c r="O39" s="18"/>
    </row>
    <row r="40" spans="2:15" x14ac:dyDescent="0.25">
      <c r="B40" s="18" t="s">
        <v>72</v>
      </c>
      <c r="C40" s="18" t="s">
        <v>73</v>
      </c>
      <c r="D40" s="18">
        <f>D35*2/D36*60</f>
        <v>675</v>
      </c>
      <c r="G40" s="152"/>
      <c r="I40" s="18" t="s">
        <v>39</v>
      </c>
      <c r="J40" s="18" t="s">
        <v>11</v>
      </c>
      <c r="K40" s="18" t="s">
        <v>23</v>
      </c>
      <c r="L40" s="18">
        <f>$D$10*4</f>
        <v>40</v>
      </c>
      <c r="M40" s="18">
        <f t="shared" si="6"/>
        <v>65</v>
      </c>
      <c r="N40" s="51">
        <f t="shared" si="4"/>
        <v>2600</v>
      </c>
      <c r="O40" s="18"/>
    </row>
    <row r="41" spans="2:15" x14ac:dyDescent="0.25">
      <c r="B41" s="18" t="s">
        <v>74</v>
      </c>
      <c r="C41" s="18" t="s">
        <v>73</v>
      </c>
      <c r="D41" s="18">
        <v>10</v>
      </c>
      <c r="G41" s="152"/>
      <c r="I41" s="93" t="s">
        <v>137</v>
      </c>
      <c r="J41" s="18"/>
      <c r="K41" s="18"/>
      <c r="L41" s="18"/>
      <c r="M41" s="18"/>
      <c r="N41" s="94">
        <f>SUM(N38:N40)</f>
        <v>6020</v>
      </c>
      <c r="O41" s="18" t="str" cm="1">
        <f t="array" ref="O41">SUM(L39:L40/10)&amp;" man crew"</f>
        <v>8 man crew</v>
      </c>
    </row>
    <row r="42" spans="2:15" x14ac:dyDescent="0.25">
      <c r="B42" s="18" t="s">
        <v>75</v>
      </c>
      <c r="C42" s="18" t="s">
        <v>73</v>
      </c>
      <c r="D42" s="18">
        <v>1.2</v>
      </c>
      <c r="G42" s="152"/>
      <c r="I42" s="95"/>
      <c r="J42" s="95"/>
      <c r="K42" s="95"/>
      <c r="L42" s="95"/>
      <c r="M42" s="95"/>
      <c r="N42" s="96"/>
      <c r="O42" s="95"/>
    </row>
    <row r="43" spans="2:15" x14ac:dyDescent="0.25">
      <c r="B43" s="18" t="s">
        <v>77</v>
      </c>
      <c r="C43" s="18" t="s">
        <v>73</v>
      </c>
      <c r="D43" s="98">
        <f>SUM(D39:D42)</f>
        <v>752.86666666666667</v>
      </c>
      <c r="G43" s="152"/>
      <c r="I43" s="18" t="s">
        <v>64</v>
      </c>
      <c r="J43" s="18" t="s">
        <v>63</v>
      </c>
      <c r="K43" s="18" t="s">
        <v>23</v>
      </c>
      <c r="L43" s="18">
        <f>$D$10*D44</f>
        <v>120</v>
      </c>
      <c r="M43" s="18">
        <f>VLOOKUP(J43,$B$15:$E$33,3,0)</f>
        <v>175</v>
      </c>
      <c r="N43" s="51">
        <f t="shared" ref="N43:N45" si="7">L43*M43</f>
        <v>21000</v>
      </c>
      <c r="O43" s="18"/>
    </row>
    <row r="44" spans="2:15" x14ac:dyDescent="0.25">
      <c r="B44" s="18" t="s">
        <v>78</v>
      </c>
      <c r="C44" s="18" t="s">
        <v>4</v>
      </c>
      <c r="D44" s="18">
        <f>ROUNDUP(D43/D39,0)</f>
        <v>12</v>
      </c>
      <c r="G44" s="152"/>
      <c r="I44" s="18" t="s">
        <v>44</v>
      </c>
      <c r="J44" s="18" t="s">
        <v>33</v>
      </c>
      <c r="K44" s="18" t="s">
        <v>23</v>
      </c>
      <c r="L44" s="18">
        <f t="shared" ref="L44:L45" si="8">$D$10*1</f>
        <v>10</v>
      </c>
      <c r="M44" s="18">
        <f>VLOOKUP(J44,$B$15:$E$33,3,0)</f>
        <v>175</v>
      </c>
      <c r="N44" s="51">
        <f t="shared" si="7"/>
        <v>1750</v>
      </c>
      <c r="O44" s="18" t="s">
        <v>87</v>
      </c>
    </row>
    <row r="45" spans="2:15" x14ac:dyDescent="0.25">
      <c r="G45" s="75"/>
      <c r="I45" s="18" t="s">
        <v>39</v>
      </c>
      <c r="J45" s="18" t="s">
        <v>11</v>
      </c>
      <c r="K45" s="18" t="s">
        <v>23</v>
      </c>
      <c r="L45" s="18">
        <f t="shared" si="8"/>
        <v>10</v>
      </c>
      <c r="M45" s="18">
        <f t="shared" ref="M45" si="9">VLOOKUP(J45,$B$4:$E$8,3,0)</f>
        <v>65</v>
      </c>
      <c r="N45" s="51">
        <f t="shared" si="7"/>
        <v>650</v>
      </c>
      <c r="O45" s="18"/>
    </row>
    <row r="46" spans="2:15" x14ac:dyDescent="0.25">
      <c r="G46" s="75"/>
      <c r="I46" s="93" t="s">
        <v>79</v>
      </c>
      <c r="J46" s="18"/>
      <c r="K46" s="18"/>
      <c r="L46" s="18"/>
      <c r="M46" s="18"/>
      <c r="N46" s="94">
        <f>SUM(N43:N45)</f>
        <v>23400</v>
      </c>
      <c r="O46" s="18"/>
    </row>
    <row r="47" spans="2:15" x14ac:dyDescent="0.25">
      <c r="B47" s="143" t="s">
        <v>84</v>
      </c>
      <c r="C47" s="143"/>
      <c r="D47" s="143"/>
      <c r="G47" s="75"/>
      <c r="I47" s="95"/>
      <c r="J47" s="95"/>
      <c r="K47" s="95"/>
      <c r="L47" s="95"/>
      <c r="M47" s="95"/>
      <c r="N47" s="96"/>
      <c r="O47" s="95"/>
    </row>
    <row r="48" spans="2:15" ht="15" customHeight="1" x14ac:dyDescent="0.25">
      <c r="B48" s="18" t="s">
        <v>68</v>
      </c>
      <c r="C48" s="18" t="s">
        <v>8</v>
      </c>
      <c r="D48" s="99">
        <f>CALCULATOR!E39</f>
        <v>450</v>
      </c>
      <c r="G48" s="151" t="s">
        <v>309</v>
      </c>
      <c r="I48" s="18" t="s">
        <v>64</v>
      </c>
      <c r="J48" s="18" t="s">
        <v>63</v>
      </c>
      <c r="K48" s="18" t="s">
        <v>23</v>
      </c>
      <c r="L48" s="18">
        <f>$D$10*$D$57</f>
        <v>150</v>
      </c>
      <c r="M48" s="18">
        <f>VLOOKUP(J48,$B$15:$E$33,3,0)</f>
        <v>175</v>
      </c>
      <c r="N48" s="51">
        <f t="shared" ref="N48:N50" si="10">L48*M48</f>
        <v>26250</v>
      </c>
      <c r="O48" s="18"/>
    </row>
    <row r="49" spans="2:15" ht="36" x14ac:dyDescent="0.25">
      <c r="B49" s="18" t="s">
        <v>69</v>
      </c>
      <c r="C49" s="18" t="s">
        <v>70</v>
      </c>
      <c r="D49" s="18">
        <v>80</v>
      </c>
      <c r="G49" s="152"/>
      <c r="I49" s="18" t="s">
        <v>44</v>
      </c>
      <c r="J49" s="18" t="s">
        <v>33</v>
      </c>
      <c r="K49" s="18" t="s">
        <v>23</v>
      </c>
      <c r="L49" s="18">
        <f t="shared" ref="L49:L50" si="11">$D$10*1</f>
        <v>10</v>
      </c>
      <c r="M49" s="18">
        <f>VLOOKUP(J49,$B$15:$E$33,3,0)</f>
        <v>175</v>
      </c>
      <c r="N49" s="51">
        <f t="shared" si="10"/>
        <v>1750</v>
      </c>
      <c r="O49" s="43" t="s">
        <v>162</v>
      </c>
    </row>
    <row r="50" spans="2:15" x14ac:dyDescent="0.25">
      <c r="B50" s="18" t="s">
        <v>65</v>
      </c>
      <c r="C50" s="18" t="s">
        <v>6</v>
      </c>
      <c r="D50" s="18">
        <v>30</v>
      </c>
      <c r="G50" s="152"/>
      <c r="I50" s="18" t="s">
        <v>39</v>
      </c>
      <c r="J50" s="18" t="s">
        <v>11</v>
      </c>
      <c r="K50" s="18" t="s">
        <v>23</v>
      </c>
      <c r="L50" s="18">
        <f t="shared" si="11"/>
        <v>10</v>
      </c>
      <c r="M50" s="18">
        <f t="shared" ref="M50" si="12">VLOOKUP(J50,$B$4:$E$8,3,0)</f>
        <v>65</v>
      </c>
      <c r="N50" s="51">
        <f t="shared" si="10"/>
        <v>650</v>
      </c>
      <c r="O50" s="18"/>
    </row>
    <row r="51" spans="2:15" x14ac:dyDescent="0.25">
      <c r="B51" s="18" t="s">
        <v>85</v>
      </c>
      <c r="C51" s="18" t="s">
        <v>67</v>
      </c>
      <c r="D51" s="18">
        <v>20</v>
      </c>
      <c r="G51" s="152"/>
      <c r="I51" s="93" t="s">
        <v>86</v>
      </c>
      <c r="J51" s="18"/>
      <c r="K51" s="18"/>
      <c r="L51" s="18"/>
      <c r="M51" s="18"/>
      <c r="N51" s="94">
        <f>SUM(N48:N50)</f>
        <v>28650</v>
      </c>
      <c r="O51" s="18"/>
    </row>
    <row r="52" spans="2:15" x14ac:dyDescent="0.25">
      <c r="B52" s="18" t="s">
        <v>71</v>
      </c>
      <c r="C52" s="18" t="s">
        <v>73</v>
      </c>
      <c r="D52" s="18">
        <f>D50/(D51*1.8)*60</f>
        <v>50</v>
      </c>
      <c r="G52" s="152"/>
      <c r="I52" s="95"/>
      <c r="J52" s="95"/>
      <c r="K52" s="95"/>
      <c r="L52" s="95"/>
      <c r="M52" s="95"/>
      <c r="N52" s="96"/>
      <c r="O52" s="95"/>
    </row>
    <row r="53" spans="2:15" x14ac:dyDescent="0.25">
      <c r="B53" s="18" t="s">
        <v>72</v>
      </c>
      <c r="C53" s="18" t="s">
        <v>73</v>
      </c>
      <c r="D53" s="18">
        <f>D48*2/D49*60</f>
        <v>675</v>
      </c>
      <c r="G53" s="152"/>
      <c r="I53" s="18" t="s">
        <v>44</v>
      </c>
      <c r="J53" s="18" t="s">
        <v>50</v>
      </c>
      <c r="K53" s="18" t="s">
        <v>23</v>
      </c>
      <c r="L53" s="18">
        <f t="shared" ref="L53:L56" si="13">$D$10*1</f>
        <v>10</v>
      </c>
      <c r="M53" s="18">
        <f>VLOOKUP(J53,$B$15:$E$33,3,0)</f>
        <v>160</v>
      </c>
      <c r="N53" s="51">
        <f t="shared" ref="N53:N56" si="14">L53*M53</f>
        <v>1600</v>
      </c>
      <c r="O53" s="18"/>
    </row>
    <row r="54" spans="2:15" x14ac:dyDescent="0.25">
      <c r="B54" s="18" t="s">
        <v>74</v>
      </c>
      <c r="C54" s="18" t="s">
        <v>73</v>
      </c>
      <c r="D54" s="18">
        <v>10</v>
      </c>
      <c r="G54" s="152"/>
      <c r="I54" s="18" t="s">
        <v>40</v>
      </c>
      <c r="J54" s="18" t="s">
        <v>35</v>
      </c>
      <c r="K54" s="18" t="s">
        <v>23</v>
      </c>
      <c r="L54" s="18">
        <f>$D$10*2</f>
        <v>20</v>
      </c>
      <c r="M54" s="18">
        <f>VLOOKUP(J54,$B$15:$E$33,3,0)</f>
        <v>150</v>
      </c>
      <c r="N54" s="51">
        <f t="shared" si="14"/>
        <v>3000</v>
      </c>
      <c r="O54" s="18"/>
    </row>
    <row r="55" spans="2:15" x14ac:dyDescent="0.25">
      <c r="B55" s="18" t="s">
        <v>75</v>
      </c>
      <c r="C55" s="18" t="s">
        <v>73</v>
      </c>
      <c r="D55" s="18">
        <v>1.2</v>
      </c>
      <c r="G55" s="152"/>
      <c r="I55" s="18" t="s">
        <v>90</v>
      </c>
      <c r="J55" s="18" t="s">
        <v>46</v>
      </c>
      <c r="K55" s="18" t="s">
        <v>23</v>
      </c>
      <c r="L55" s="18">
        <f t="shared" si="13"/>
        <v>10</v>
      </c>
      <c r="M55" s="18">
        <f>VLOOKUP(J55,$B$15:$E$33,3,0)</f>
        <v>130</v>
      </c>
      <c r="N55" s="51">
        <f t="shared" si="14"/>
        <v>1300</v>
      </c>
      <c r="O55" s="18"/>
    </row>
    <row r="56" spans="2:15" x14ac:dyDescent="0.25">
      <c r="B56" s="18" t="s">
        <v>77</v>
      </c>
      <c r="C56" s="18" t="s">
        <v>73</v>
      </c>
      <c r="D56" s="18">
        <f>SUM(D52:D55)</f>
        <v>736.2</v>
      </c>
      <c r="G56" s="152"/>
      <c r="I56" s="18" t="s">
        <v>39</v>
      </c>
      <c r="J56" s="18" t="s">
        <v>11</v>
      </c>
      <c r="K56" s="18" t="s">
        <v>23</v>
      </c>
      <c r="L56" s="18">
        <f t="shared" si="13"/>
        <v>10</v>
      </c>
      <c r="M56" s="18">
        <f t="shared" ref="M56" si="15">VLOOKUP(J56,$B$4:$E$8,3,0)</f>
        <v>65</v>
      </c>
      <c r="N56" s="51">
        <f t="shared" si="14"/>
        <v>650</v>
      </c>
      <c r="O56" s="18"/>
    </row>
    <row r="57" spans="2:15" x14ac:dyDescent="0.25">
      <c r="B57" s="18" t="s">
        <v>78</v>
      </c>
      <c r="C57" s="18" t="s">
        <v>4</v>
      </c>
      <c r="D57" s="18">
        <f>ROUNDUP(D56/D52,0)</f>
        <v>15</v>
      </c>
      <c r="G57" s="152"/>
      <c r="I57" s="93" t="s">
        <v>91</v>
      </c>
      <c r="J57" s="18"/>
      <c r="K57" s="18"/>
      <c r="L57" s="18"/>
      <c r="M57" s="18"/>
      <c r="N57" s="94">
        <f>SUM(N53:N56)</f>
        <v>6550</v>
      </c>
      <c r="O57" s="18"/>
    </row>
    <row r="58" spans="2:15" x14ac:dyDescent="0.25">
      <c r="G58" s="75"/>
      <c r="I58" s="95"/>
      <c r="J58" s="95"/>
      <c r="K58" s="95"/>
      <c r="L58" s="95"/>
      <c r="M58" s="95"/>
      <c r="N58" s="96"/>
      <c r="O58" s="95"/>
    </row>
    <row r="59" spans="2:15" x14ac:dyDescent="0.25">
      <c r="G59" s="75"/>
      <c r="I59" s="18" t="s">
        <v>18</v>
      </c>
      <c r="J59" s="18" t="s">
        <v>17</v>
      </c>
      <c r="K59" s="18" t="s">
        <v>23</v>
      </c>
      <c r="L59" s="18">
        <f>$D$10*2</f>
        <v>20</v>
      </c>
      <c r="M59" s="18">
        <f>VLOOKUP(J59,$B$4:$E$8,3,0)</f>
        <v>75</v>
      </c>
      <c r="N59" s="51">
        <f>L59*M59</f>
        <v>1500</v>
      </c>
      <c r="O59" s="18"/>
    </row>
    <row r="60" spans="2:15" x14ac:dyDescent="0.25">
      <c r="B60" s="143" t="s">
        <v>152</v>
      </c>
      <c r="C60" s="143"/>
      <c r="D60" s="143"/>
      <c r="G60" s="75"/>
      <c r="I60" s="18" t="s">
        <v>39</v>
      </c>
      <c r="J60" s="18" t="s">
        <v>11</v>
      </c>
      <c r="K60" s="18" t="s">
        <v>23</v>
      </c>
      <c r="L60" s="18">
        <f>$D$10*2</f>
        <v>20</v>
      </c>
      <c r="M60" s="18">
        <f>VLOOKUP(J60,$B$4:$E$8,3,0)</f>
        <v>65</v>
      </c>
      <c r="N60" s="51">
        <f>L60*M60</f>
        <v>1300</v>
      </c>
      <c r="O60" s="18"/>
    </row>
    <row r="61" spans="2:15" ht="15" customHeight="1" x14ac:dyDescent="0.25">
      <c r="B61" s="18" t="s">
        <v>68</v>
      </c>
      <c r="C61" s="18" t="s">
        <v>8</v>
      </c>
      <c r="D61" s="99">
        <f>CALCULATOR!E39</f>
        <v>450</v>
      </c>
      <c r="G61" s="151" t="s">
        <v>309</v>
      </c>
      <c r="I61" s="18" t="s">
        <v>42</v>
      </c>
      <c r="J61" s="18" t="s">
        <v>31</v>
      </c>
      <c r="K61" s="18" t="s">
        <v>23</v>
      </c>
      <c r="L61" s="18">
        <f>$D$10*3</f>
        <v>30</v>
      </c>
      <c r="M61" s="18">
        <f>VLOOKUP(J61,$B$15:$E$33,3,0)</f>
        <v>15</v>
      </c>
      <c r="N61" s="51">
        <f>L61*M61</f>
        <v>450</v>
      </c>
      <c r="O61" s="18"/>
    </row>
    <row r="62" spans="2:15" x14ac:dyDescent="0.25">
      <c r="B62" s="18" t="s">
        <v>69</v>
      </c>
      <c r="C62" s="18" t="s">
        <v>70</v>
      </c>
      <c r="D62" s="18">
        <v>80</v>
      </c>
      <c r="G62" s="152"/>
      <c r="I62" s="100" t="s">
        <v>101</v>
      </c>
      <c r="J62" s="18"/>
      <c r="K62" s="18"/>
      <c r="L62" s="18"/>
      <c r="M62" s="18"/>
      <c r="N62" s="94">
        <f>SUM(N59:N61)</f>
        <v>3250</v>
      </c>
      <c r="O62" s="18" t="str">
        <f>SUM(L60/10)&amp;" man crew"</f>
        <v>2 man crew</v>
      </c>
    </row>
    <row r="63" spans="2:15" x14ac:dyDescent="0.25">
      <c r="B63" s="18" t="s">
        <v>65</v>
      </c>
      <c r="C63" s="18" t="s">
        <v>6</v>
      </c>
      <c r="D63" s="18">
        <v>30</v>
      </c>
      <c r="G63" s="152"/>
      <c r="I63" s="95"/>
      <c r="J63" s="95"/>
      <c r="K63" s="95"/>
      <c r="L63" s="95"/>
      <c r="M63" s="95"/>
      <c r="N63" s="96"/>
      <c r="O63" s="95"/>
    </row>
    <row r="64" spans="2:15" x14ac:dyDescent="0.25">
      <c r="B64" s="18" t="s">
        <v>153</v>
      </c>
      <c r="C64" s="18" t="s">
        <v>154</v>
      </c>
      <c r="D64" s="18">
        <f>40*0.125</f>
        <v>5</v>
      </c>
      <c r="G64" s="152"/>
      <c r="I64" s="18" t="s">
        <v>44</v>
      </c>
      <c r="J64" s="18" t="s">
        <v>50</v>
      </c>
      <c r="K64" s="18" t="s">
        <v>23</v>
      </c>
      <c r="L64" s="18">
        <f>$D$10*1</f>
        <v>10</v>
      </c>
      <c r="M64" s="18">
        <f>VLOOKUP(J64,$B$15:$E$33,3,0)</f>
        <v>160</v>
      </c>
      <c r="N64" s="51">
        <f t="shared" ref="N64:N69" si="16">L64*M64</f>
        <v>1600</v>
      </c>
      <c r="O64" s="18"/>
    </row>
    <row r="65" spans="2:15" x14ac:dyDescent="0.25">
      <c r="B65" s="18" t="s">
        <v>71</v>
      </c>
      <c r="C65" s="18" t="s">
        <v>73</v>
      </c>
      <c r="D65" s="18">
        <f>D63/D64*60</f>
        <v>360</v>
      </c>
      <c r="G65" s="152"/>
      <c r="I65" s="18" t="s">
        <v>37</v>
      </c>
      <c r="J65" s="18" t="s">
        <v>51</v>
      </c>
      <c r="K65" s="18" t="s">
        <v>23</v>
      </c>
      <c r="L65" s="18">
        <f>$D$10*1</f>
        <v>10</v>
      </c>
      <c r="M65" s="18">
        <f>VLOOKUP(J65,$B$15:$E$33,3,0)/$D$10</f>
        <v>15</v>
      </c>
      <c r="N65" s="51">
        <f t="shared" si="16"/>
        <v>150</v>
      </c>
      <c r="O65" s="18"/>
    </row>
    <row r="66" spans="2:15" x14ac:dyDescent="0.25">
      <c r="B66" s="18" t="s">
        <v>72</v>
      </c>
      <c r="C66" s="18" t="s">
        <v>73</v>
      </c>
      <c r="D66" s="18">
        <f>D61*2/D62*60</f>
        <v>675</v>
      </c>
      <c r="G66" s="152"/>
      <c r="I66" s="18" t="s">
        <v>40</v>
      </c>
      <c r="J66" s="18" t="s">
        <v>35</v>
      </c>
      <c r="K66" s="18" t="s">
        <v>23</v>
      </c>
      <c r="L66" s="18">
        <f>$D$10*2</f>
        <v>20</v>
      </c>
      <c r="M66" s="18">
        <f>VLOOKUP(J66,$B$15:$E$33,3,0)</f>
        <v>150</v>
      </c>
      <c r="N66" s="51">
        <f t="shared" si="16"/>
        <v>3000</v>
      </c>
      <c r="O66" s="18"/>
    </row>
    <row r="67" spans="2:15" x14ac:dyDescent="0.25">
      <c r="B67" s="18" t="s">
        <v>74</v>
      </c>
      <c r="C67" s="18" t="s">
        <v>73</v>
      </c>
      <c r="D67" s="18">
        <v>10</v>
      </c>
      <c r="G67" s="152"/>
      <c r="I67" s="18" t="s">
        <v>39</v>
      </c>
      <c r="J67" s="18" t="s">
        <v>11</v>
      </c>
      <c r="K67" s="18" t="s">
        <v>23</v>
      </c>
      <c r="L67" s="18">
        <f>$D$10*2</f>
        <v>20</v>
      </c>
      <c r="M67" s="18">
        <f>VLOOKUP(J67,$B$4:$E$8,3,0)</f>
        <v>65</v>
      </c>
      <c r="N67" s="51">
        <f t="shared" si="16"/>
        <v>1300</v>
      </c>
      <c r="O67" s="18"/>
    </row>
    <row r="68" spans="2:15" x14ac:dyDescent="0.25">
      <c r="B68" s="18" t="s">
        <v>75</v>
      </c>
      <c r="C68" s="18" t="s">
        <v>73</v>
      </c>
      <c r="D68" s="18">
        <v>1.2</v>
      </c>
      <c r="G68" s="152"/>
      <c r="I68" s="18" t="s">
        <v>45</v>
      </c>
      <c r="J68" s="18" t="s">
        <v>47</v>
      </c>
      <c r="K68" s="18" t="s">
        <v>23</v>
      </c>
      <c r="L68" s="18">
        <f>$D$10*1</f>
        <v>10</v>
      </c>
      <c r="M68" s="18">
        <f>VLOOKUP(J68,$B$15:$E$33,3,0)</f>
        <v>120</v>
      </c>
      <c r="N68" s="51">
        <f t="shared" si="16"/>
        <v>1200</v>
      </c>
      <c r="O68" s="18"/>
    </row>
    <row r="69" spans="2:15" x14ac:dyDescent="0.25">
      <c r="B69" s="18" t="s">
        <v>77</v>
      </c>
      <c r="C69" s="18" t="s">
        <v>73</v>
      </c>
      <c r="D69" s="18">
        <f>SUM(D65:D68)</f>
        <v>1046.2</v>
      </c>
      <c r="G69" s="152"/>
      <c r="I69" s="18" t="s">
        <v>48</v>
      </c>
      <c r="J69" s="18" t="s">
        <v>46</v>
      </c>
      <c r="K69" s="18" t="s">
        <v>23</v>
      </c>
      <c r="L69" s="18">
        <f>$D$10*1</f>
        <v>10</v>
      </c>
      <c r="M69" s="18">
        <f>VLOOKUP(J69,$B$15:$E$33,3,0)</f>
        <v>130</v>
      </c>
      <c r="N69" s="51">
        <f t="shared" si="16"/>
        <v>1300</v>
      </c>
      <c r="O69" s="18"/>
    </row>
    <row r="70" spans="2:15" x14ac:dyDescent="0.25">
      <c r="B70" s="18" t="s">
        <v>78</v>
      </c>
      <c r="C70" s="18" t="s">
        <v>4</v>
      </c>
      <c r="D70" s="18">
        <f>ROUNDUP(D69/D65,0)</f>
        <v>3</v>
      </c>
      <c r="G70" s="152"/>
      <c r="I70" s="100" t="s">
        <v>119</v>
      </c>
      <c r="J70" s="18"/>
      <c r="K70" s="18"/>
      <c r="L70" s="18"/>
      <c r="M70" s="18"/>
      <c r="N70" s="94">
        <f>SUM(N64:N69)</f>
        <v>8550</v>
      </c>
      <c r="O70" s="18" t="str">
        <f>SUM(L67/10)&amp;" man crew"</f>
        <v>2 man crew</v>
      </c>
    </row>
    <row r="71" spans="2:15" x14ac:dyDescent="0.25">
      <c r="B71" s="101"/>
      <c r="C71" s="101"/>
      <c r="I71" s="95"/>
      <c r="J71" s="95"/>
      <c r="K71" s="95"/>
      <c r="L71" s="95"/>
      <c r="M71" s="95"/>
      <c r="N71" s="96"/>
      <c r="O71" s="95"/>
    </row>
    <row r="72" spans="2:15" x14ac:dyDescent="0.25">
      <c r="B72" s="102" t="s">
        <v>282</v>
      </c>
      <c r="C72" s="101"/>
      <c r="I72" s="18" t="s">
        <v>89</v>
      </c>
      <c r="J72" s="18" t="s">
        <v>107</v>
      </c>
      <c r="K72" s="18" t="s">
        <v>23</v>
      </c>
      <c r="L72" s="18">
        <f t="shared" ref="L72" si="17">$D$10*1</f>
        <v>10</v>
      </c>
      <c r="M72" s="18">
        <f>VLOOKUP(J72,$B$15:$E$33,3,0)</f>
        <v>750</v>
      </c>
      <c r="N72" s="51">
        <f t="shared" ref="N72:N76" si="18">L72*M72</f>
        <v>7500</v>
      </c>
      <c r="O72" s="18"/>
    </row>
    <row r="73" spans="2:15" x14ac:dyDescent="0.25">
      <c r="B73" s="102" t="s">
        <v>182</v>
      </c>
      <c r="C73" s="101"/>
      <c r="I73" s="18" t="s">
        <v>139</v>
      </c>
      <c r="J73" s="18" t="s">
        <v>139</v>
      </c>
      <c r="K73" s="18" t="s">
        <v>34</v>
      </c>
      <c r="L73" s="18">
        <f t="shared" ref="L73" si="19">$D$10*1</f>
        <v>10</v>
      </c>
      <c r="M73" s="18">
        <f>VLOOKUP(J73,$B$15:$E$33,3,0)/$D$10</f>
        <v>42</v>
      </c>
      <c r="N73" s="51">
        <f t="shared" si="18"/>
        <v>420</v>
      </c>
      <c r="O73" s="18"/>
    </row>
    <row r="74" spans="2:15" x14ac:dyDescent="0.25">
      <c r="B74" s="102" t="s">
        <v>183</v>
      </c>
      <c r="C74" s="101"/>
      <c r="I74" s="103" t="s">
        <v>40</v>
      </c>
      <c r="J74" s="103" t="s">
        <v>35</v>
      </c>
      <c r="K74" s="103" t="s">
        <v>23</v>
      </c>
      <c r="L74" s="103">
        <f>$D$10*1</f>
        <v>10</v>
      </c>
      <c r="M74" s="103">
        <f>VLOOKUP(J74,$B$15:$E$33,3,0)</f>
        <v>150</v>
      </c>
      <c r="N74" s="104">
        <f t="shared" si="18"/>
        <v>1500</v>
      </c>
      <c r="O74" s="18"/>
    </row>
    <row r="75" spans="2:15" x14ac:dyDescent="0.25">
      <c r="B75" s="101"/>
      <c r="C75" s="101"/>
      <c r="I75" s="18" t="s">
        <v>58</v>
      </c>
      <c r="J75" s="18" t="s">
        <v>17</v>
      </c>
      <c r="K75" s="18" t="s">
        <v>23</v>
      </c>
      <c r="L75" s="18">
        <f>$D$10*4</f>
        <v>40</v>
      </c>
      <c r="M75" s="18">
        <f t="shared" ref="M75:M76" si="20">VLOOKUP(J75,$B$4:$E$8,3,0)</f>
        <v>75</v>
      </c>
      <c r="N75" s="51">
        <f t="shared" si="18"/>
        <v>3000</v>
      </c>
      <c r="O75" s="18"/>
    </row>
    <row r="76" spans="2:15" x14ac:dyDescent="0.25">
      <c r="B76" s="101"/>
      <c r="C76" s="101"/>
      <c r="I76" s="18" t="s">
        <v>39</v>
      </c>
      <c r="J76" s="18" t="s">
        <v>11</v>
      </c>
      <c r="K76" s="18" t="s">
        <v>23</v>
      </c>
      <c r="L76" s="18">
        <f>$D$10*2</f>
        <v>20</v>
      </c>
      <c r="M76" s="18">
        <f t="shared" si="20"/>
        <v>65</v>
      </c>
      <c r="N76" s="51">
        <f t="shared" si="18"/>
        <v>1300</v>
      </c>
      <c r="O76" s="18"/>
    </row>
    <row r="77" spans="2:15" ht="18.75" x14ac:dyDescent="0.25">
      <c r="B77" s="150" t="s">
        <v>171</v>
      </c>
      <c r="C77" s="150"/>
      <c r="I77" s="100" t="s">
        <v>140</v>
      </c>
      <c r="J77" s="18"/>
      <c r="K77" s="18"/>
      <c r="L77" s="18"/>
      <c r="M77" s="18"/>
      <c r="N77" s="94">
        <f>SUM(N72:N76)</f>
        <v>13720</v>
      </c>
      <c r="O77" s="18" t="str" cm="1">
        <f t="array" ref="O77">SUM(L75:L76/10)&amp;" man crew"</f>
        <v>6 man crew</v>
      </c>
    </row>
    <row r="78" spans="2:15" x14ac:dyDescent="0.25">
      <c r="B78" s="105" t="str">
        <f>CALCULATOR!E8</f>
        <v>Drive Steel Pile</v>
      </c>
      <c r="C78" s="105">
        <f>IF(B78="Drive Steel Pile",1,0)</f>
        <v>1</v>
      </c>
      <c r="I78" s="95"/>
      <c r="J78" s="95"/>
      <c r="K78" s="95"/>
      <c r="L78" s="95"/>
      <c r="M78" s="95"/>
      <c r="N78" s="96"/>
      <c r="O78" s="95"/>
    </row>
    <row r="79" spans="2:15" x14ac:dyDescent="0.25">
      <c r="B79" s="101"/>
      <c r="C79" s="101"/>
      <c r="I79" s="18" t="s">
        <v>89</v>
      </c>
      <c r="J79" s="18" t="s">
        <v>138</v>
      </c>
      <c r="K79" s="18" t="s">
        <v>23</v>
      </c>
      <c r="L79" s="18">
        <f t="shared" ref="L79" si="21">$D$10*1</f>
        <v>10</v>
      </c>
      <c r="M79" s="18">
        <f>VLOOKUP(J79,$B$15:$E$33,3,0)</f>
        <v>300</v>
      </c>
      <c r="N79" s="51">
        <f t="shared" ref="N79:N82" si="22">L79*M79</f>
        <v>3000</v>
      </c>
      <c r="O79" s="18"/>
    </row>
    <row r="80" spans="2:15" x14ac:dyDescent="0.25">
      <c r="B80" s="102" t="s">
        <v>203</v>
      </c>
      <c r="C80" s="102" t="s">
        <v>117</v>
      </c>
      <c r="I80" s="103" t="s">
        <v>40</v>
      </c>
      <c r="J80" s="103" t="s">
        <v>35</v>
      </c>
      <c r="K80" s="103" t="s">
        <v>23</v>
      </c>
      <c r="L80" s="103">
        <f>$D$10*1</f>
        <v>10</v>
      </c>
      <c r="M80" s="103">
        <f>VLOOKUP(J80,$B$15:$E$33,3,0)</f>
        <v>150</v>
      </c>
      <c r="N80" s="104">
        <f t="shared" si="22"/>
        <v>1500</v>
      </c>
      <c r="O80" s="18"/>
    </row>
    <row r="81" spans="2:15" x14ac:dyDescent="0.25">
      <c r="B81" s="102"/>
      <c r="C81" s="102" t="s">
        <v>204</v>
      </c>
      <c r="I81" s="18" t="s">
        <v>58</v>
      </c>
      <c r="J81" s="18" t="s">
        <v>17</v>
      </c>
      <c r="K81" s="18" t="s">
        <v>23</v>
      </c>
      <c r="L81" s="18">
        <f>$D$10*1</f>
        <v>10</v>
      </c>
      <c r="M81" s="18">
        <f t="shared" ref="M81:M82" si="23">VLOOKUP(J81,$B$4:$E$8,3,0)</f>
        <v>75</v>
      </c>
      <c r="N81" s="51">
        <f t="shared" si="22"/>
        <v>750</v>
      </c>
      <c r="O81" s="18"/>
    </row>
    <row r="82" spans="2:15" x14ac:dyDescent="0.25">
      <c r="B82" s="101"/>
      <c r="C82" s="101"/>
      <c r="I82" s="18" t="s">
        <v>39</v>
      </c>
      <c r="J82" s="18" t="s">
        <v>11</v>
      </c>
      <c r="K82" s="18" t="s">
        <v>23</v>
      </c>
      <c r="L82" s="18">
        <f>$D$10*2</f>
        <v>20</v>
      </c>
      <c r="M82" s="18">
        <f t="shared" si="23"/>
        <v>65</v>
      </c>
      <c r="N82" s="51">
        <f t="shared" si="22"/>
        <v>1300</v>
      </c>
      <c r="O82" s="18"/>
    </row>
    <row r="83" spans="2:15" x14ac:dyDescent="0.25">
      <c r="B83" s="101"/>
      <c r="C83" s="101"/>
      <c r="I83" s="100" t="s">
        <v>144</v>
      </c>
      <c r="J83" s="18"/>
      <c r="K83" s="18"/>
      <c r="L83" s="18"/>
      <c r="M83" s="18"/>
      <c r="N83" s="94">
        <f>SUM(N79:N82)</f>
        <v>6550</v>
      </c>
      <c r="O83" s="18" t="str" cm="1">
        <f t="array" ref="O83">SUM(L81:L82/10)&amp;" man crew"</f>
        <v>3 man crew</v>
      </c>
    </row>
    <row r="84" spans="2:15" x14ac:dyDescent="0.25">
      <c r="B84" s="101"/>
      <c r="C84" s="101"/>
      <c r="I84" s="95"/>
      <c r="J84" s="95"/>
      <c r="K84" s="95"/>
      <c r="L84" s="95"/>
      <c r="M84" s="95"/>
      <c r="N84" s="96"/>
      <c r="O84" s="95"/>
    </row>
    <row r="85" spans="2:15" x14ac:dyDescent="0.25">
      <c r="B85" s="101"/>
      <c r="C85" s="101"/>
      <c r="I85" s="18" t="s">
        <v>147</v>
      </c>
      <c r="J85" s="18" t="s">
        <v>147</v>
      </c>
      <c r="K85" s="18" t="s">
        <v>23</v>
      </c>
      <c r="L85" s="18">
        <f t="shared" ref="L85" si="24">$D$10*1</f>
        <v>10</v>
      </c>
      <c r="M85" s="18">
        <f>VLOOKUP(J85,$B$15:$E$33,3,0)</f>
        <v>135</v>
      </c>
      <c r="N85" s="51">
        <f t="shared" ref="N85:N87" si="25">L85*M85</f>
        <v>1350</v>
      </c>
      <c r="O85" s="18"/>
    </row>
    <row r="86" spans="2:15" x14ac:dyDescent="0.25">
      <c r="B86" s="101"/>
      <c r="C86" s="101"/>
      <c r="I86" s="18" t="s">
        <v>148</v>
      </c>
      <c r="J86" s="18" t="s">
        <v>148</v>
      </c>
      <c r="K86" s="18" t="s">
        <v>23</v>
      </c>
      <c r="L86" s="18">
        <f>$D$10*1</f>
        <v>10</v>
      </c>
      <c r="M86" s="18">
        <f>VLOOKUP(J86,$B$15:$E$33,3,0)/10</f>
        <v>12</v>
      </c>
      <c r="N86" s="51">
        <f t="shared" si="25"/>
        <v>120</v>
      </c>
      <c r="O86" s="18"/>
    </row>
    <row r="87" spans="2:15" x14ac:dyDescent="0.25">
      <c r="B87" s="101"/>
      <c r="C87" s="101"/>
      <c r="I87" s="18" t="s">
        <v>39</v>
      </c>
      <c r="J87" s="18" t="s">
        <v>11</v>
      </c>
      <c r="K87" s="18" t="s">
        <v>23</v>
      </c>
      <c r="L87" s="18">
        <f>$D$10*2</f>
        <v>20</v>
      </c>
      <c r="M87" s="18">
        <f t="shared" ref="M87" si="26">VLOOKUP(J87,$B$4:$E$8,3,0)</f>
        <v>65</v>
      </c>
      <c r="N87" s="51">
        <f t="shared" si="25"/>
        <v>1300</v>
      </c>
      <c r="O87" s="18"/>
    </row>
    <row r="88" spans="2:15" x14ac:dyDescent="0.25">
      <c r="B88" s="101"/>
      <c r="C88" s="101"/>
      <c r="I88" s="100" t="s">
        <v>146</v>
      </c>
      <c r="J88" s="18"/>
      <c r="K88" s="18"/>
      <c r="L88" s="18"/>
      <c r="M88" s="18"/>
      <c r="N88" s="94">
        <f>SUM(N85:N87)</f>
        <v>2770</v>
      </c>
      <c r="O88" s="18" t="str">
        <f>SUM(L87/10)&amp;" man crew"</f>
        <v>2 man crew</v>
      </c>
    </row>
    <row r="89" spans="2:15" x14ac:dyDescent="0.25">
      <c r="B89" s="101"/>
      <c r="C89" s="101"/>
      <c r="I89" s="95"/>
      <c r="J89" s="95"/>
      <c r="K89" s="95"/>
      <c r="L89" s="95"/>
      <c r="M89" s="95"/>
      <c r="N89" s="96"/>
      <c r="O89" s="95"/>
    </row>
    <row r="90" spans="2:15" ht="15" customHeight="1" x14ac:dyDescent="0.25">
      <c r="I90" s="18" t="s">
        <v>147</v>
      </c>
      <c r="J90" s="18" t="s">
        <v>147</v>
      </c>
      <c r="K90" s="18" t="s">
        <v>23</v>
      </c>
      <c r="L90" s="18">
        <f t="shared" ref="L90" si="27">$D$10*1</f>
        <v>10</v>
      </c>
      <c r="M90" s="18">
        <f>VLOOKUP(J90,$B$15:$E$33,3,0)</f>
        <v>135</v>
      </c>
      <c r="N90" s="51">
        <f t="shared" ref="N90:N92" si="28">L90*M90</f>
        <v>1350</v>
      </c>
      <c r="O90" s="106" t="s">
        <v>223</v>
      </c>
    </row>
    <row r="91" spans="2:15" x14ac:dyDescent="0.25">
      <c r="I91" s="18" t="s">
        <v>63</v>
      </c>
      <c r="J91" s="18" t="s">
        <v>63</v>
      </c>
      <c r="K91" s="18" t="s">
        <v>23</v>
      </c>
      <c r="L91" s="18">
        <f>$D$10*D70</f>
        <v>30</v>
      </c>
      <c r="M91" s="18">
        <f>VLOOKUP(J91,$B$15:$E$33,3,0)</f>
        <v>175</v>
      </c>
      <c r="N91" s="51">
        <f t="shared" si="28"/>
        <v>5250</v>
      </c>
      <c r="O91" s="107"/>
    </row>
    <row r="92" spans="2:15" x14ac:dyDescent="0.25">
      <c r="I92" s="18" t="s">
        <v>39</v>
      </c>
      <c r="J92" s="18" t="s">
        <v>11</v>
      </c>
      <c r="K92" s="18" t="s">
        <v>23</v>
      </c>
      <c r="L92" s="18">
        <f>$D$10*2</f>
        <v>20</v>
      </c>
      <c r="M92" s="18">
        <f t="shared" ref="M92" si="29">VLOOKUP(J92,$B$4:$E$8,3,0)</f>
        <v>65</v>
      </c>
      <c r="N92" s="51">
        <f t="shared" si="28"/>
        <v>1300</v>
      </c>
      <c r="O92" s="18"/>
    </row>
    <row r="93" spans="2:15" x14ac:dyDescent="0.25">
      <c r="I93" s="100" t="s">
        <v>150</v>
      </c>
      <c r="J93" s="18"/>
      <c r="K93" s="18"/>
      <c r="L93" s="18"/>
      <c r="M93" s="18"/>
      <c r="N93" s="94">
        <f>SUM(N90:N92)</f>
        <v>7900</v>
      </c>
      <c r="O93" s="18" t="str">
        <f>SUM(L92/10)&amp;" man crew"</f>
        <v>2 man crew</v>
      </c>
    </row>
    <row r="94" spans="2:15" x14ac:dyDescent="0.25">
      <c r="I94" s="95"/>
      <c r="J94" s="95"/>
      <c r="K94" s="95"/>
      <c r="L94" s="95"/>
      <c r="M94" s="95"/>
      <c r="N94" s="96"/>
      <c r="O94" s="95"/>
    </row>
    <row r="95" spans="2:15" x14ac:dyDescent="0.25">
      <c r="I95" s="18" t="s">
        <v>139</v>
      </c>
      <c r="J95" s="18" t="s">
        <v>139</v>
      </c>
      <c r="K95" s="18" t="s">
        <v>34</v>
      </c>
      <c r="L95" s="18">
        <f t="shared" ref="L95:L97" si="30">$D$10*1</f>
        <v>10</v>
      </c>
      <c r="M95" s="18">
        <f>VLOOKUP(J95,$B$15:$E$33,3,0)/10</f>
        <v>42</v>
      </c>
      <c r="N95" s="51">
        <f t="shared" ref="N95:N98" si="31">L95*M95</f>
        <v>420</v>
      </c>
      <c r="O95" s="108"/>
    </row>
    <row r="96" spans="2:15" x14ac:dyDescent="0.25">
      <c r="I96" s="103" t="s">
        <v>40</v>
      </c>
      <c r="J96" s="103" t="s">
        <v>35</v>
      </c>
      <c r="K96" s="103" t="s">
        <v>23</v>
      </c>
      <c r="L96" s="103">
        <f>$D$10*1</f>
        <v>10</v>
      </c>
      <c r="M96" s="103">
        <f>VLOOKUP(J96,$B$15:$E$33,3,0)</f>
        <v>150</v>
      </c>
      <c r="N96" s="104">
        <f t="shared" si="31"/>
        <v>1500</v>
      </c>
      <c r="O96" s="108"/>
    </row>
    <row r="97" spans="9:15" x14ac:dyDescent="0.25">
      <c r="I97" s="18" t="s">
        <v>159</v>
      </c>
      <c r="J97" s="18" t="s">
        <v>138</v>
      </c>
      <c r="K97" s="18" t="s">
        <v>23</v>
      </c>
      <c r="L97" s="18">
        <f t="shared" si="30"/>
        <v>10</v>
      </c>
      <c r="M97" s="18">
        <f>VLOOKUP(J97,$B$15:$E$33,3,0)</f>
        <v>300</v>
      </c>
      <c r="N97" s="51">
        <f t="shared" si="31"/>
        <v>3000</v>
      </c>
      <c r="O97" s="108"/>
    </row>
    <row r="98" spans="9:15" x14ac:dyDescent="0.25">
      <c r="I98" s="18" t="s">
        <v>39</v>
      </c>
      <c r="J98" s="18" t="s">
        <v>11</v>
      </c>
      <c r="K98" s="18" t="s">
        <v>23</v>
      </c>
      <c r="L98" s="18">
        <f>$D$10*2</f>
        <v>20</v>
      </c>
      <c r="M98" s="18">
        <f t="shared" ref="M98" si="32">VLOOKUP(J98,$B$4:$E$8,3,0)</f>
        <v>65</v>
      </c>
      <c r="N98" s="51">
        <f t="shared" si="31"/>
        <v>1300</v>
      </c>
      <c r="O98" s="108"/>
    </row>
    <row r="99" spans="9:15" x14ac:dyDescent="0.25">
      <c r="I99" s="100" t="s">
        <v>158</v>
      </c>
      <c r="J99" s="18"/>
      <c r="K99" s="18"/>
      <c r="L99" s="18"/>
      <c r="M99" s="18"/>
      <c r="N99" s="94">
        <f>SUM(N95:N98)</f>
        <v>6220</v>
      </c>
      <c r="O99" s="18" t="str">
        <f>SUM(L98/10)&amp;" man crew"</f>
        <v>2 man crew</v>
      </c>
    </row>
    <row r="100" spans="9:15" x14ac:dyDescent="0.25">
      <c r="I100" s="95"/>
      <c r="J100" s="95"/>
      <c r="K100" s="95"/>
      <c r="L100" s="95"/>
      <c r="M100" s="95"/>
      <c r="N100" s="96"/>
      <c r="O100" s="95"/>
    </row>
    <row r="101" spans="9:15" x14ac:dyDescent="0.25">
      <c r="I101" s="18" t="s">
        <v>147</v>
      </c>
      <c r="J101" s="18" t="s">
        <v>147</v>
      </c>
      <c r="K101" s="18" t="s">
        <v>23</v>
      </c>
      <c r="L101" s="18">
        <f t="shared" ref="L101" si="33">$D$10*1</f>
        <v>10</v>
      </c>
      <c r="M101" s="18">
        <f>VLOOKUP(J101,$B$15:$E$33,3,0)</f>
        <v>135</v>
      </c>
      <c r="N101" s="51">
        <f t="shared" ref="N101" si="34">L101*M101</f>
        <v>1350</v>
      </c>
      <c r="O101" s="18" t="s">
        <v>164</v>
      </c>
    </row>
    <row r="102" spans="9:15" x14ac:dyDescent="0.25">
      <c r="I102" s="18" t="s">
        <v>40</v>
      </c>
      <c r="J102" s="18" t="s">
        <v>35</v>
      </c>
      <c r="K102" s="18" t="s">
        <v>23</v>
      </c>
      <c r="L102" s="18">
        <f>$D$10*1</f>
        <v>10</v>
      </c>
      <c r="M102" s="18">
        <f>VLOOKUP(J102,$B$15:$E$33,3,0)</f>
        <v>150</v>
      </c>
      <c r="N102" s="51">
        <f t="shared" ref="N102:N103" si="35">L102*M102</f>
        <v>1500</v>
      </c>
      <c r="O102" s="18"/>
    </row>
    <row r="103" spans="9:15" x14ac:dyDescent="0.25">
      <c r="I103" s="18" t="s">
        <v>39</v>
      </c>
      <c r="J103" s="18" t="s">
        <v>11</v>
      </c>
      <c r="K103" s="18" t="s">
        <v>23</v>
      </c>
      <c r="L103" s="18">
        <f>$D$10*3</f>
        <v>30</v>
      </c>
      <c r="M103" s="18">
        <f t="shared" ref="M103" si="36">VLOOKUP(J103,$B$4:$E$8,3,0)</f>
        <v>65</v>
      </c>
      <c r="N103" s="51">
        <f t="shared" si="35"/>
        <v>1950</v>
      </c>
      <c r="O103" s="18"/>
    </row>
    <row r="104" spans="9:15" x14ac:dyDescent="0.25">
      <c r="I104" s="93" t="s">
        <v>163</v>
      </c>
      <c r="J104" s="18"/>
      <c r="K104" s="18"/>
      <c r="L104" s="18"/>
      <c r="M104" s="18"/>
      <c r="N104" s="94">
        <f>SUM(N101:N103)</f>
        <v>4800</v>
      </c>
      <c r="O104" s="18" t="str">
        <f>SUM(L103/10)&amp;" man crew"</f>
        <v>3 man crew</v>
      </c>
    </row>
    <row r="105" spans="9:15" x14ac:dyDescent="0.25">
      <c r="I105" s="95"/>
      <c r="J105" s="95"/>
      <c r="K105" s="95"/>
      <c r="L105" s="95"/>
      <c r="M105" s="95"/>
      <c r="N105" s="96"/>
      <c r="O105" s="95"/>
    </row>
    <row r="106" spans="9:15" x14ac:dyDescent="0.25">
      <c r="I106" s="95"/>
      <c r="J106" s="95"/>
      <c r="K106" s="95"/>
      <c r="L106" s="95"/>
      <c r="M106" s="95"/>
      <c r="N106" s="96"/>
      <c r="O106" s="95"/>
    </row>
    <row r="107" spans="9:15" x14ac:dyDescent="0.25">
      <c r="I107" s="18" t="s">
        <v>316</v>
      </c>
      <c r="J107" s="18"/>
      <c r="K107" s="18" t="s">
        <v>5</v>
      </c>
      <c r="L107" s="109">
        <f>CALCULATOR!E15*2+SQRT(CALCULATOR!E7*10000)*2</f>
        <v>103285.11795830834</v>
      </c>
      <c r="M107" s="18">
        <v>7.5</v>
      </c>
      <c r="N107" s="51">
        <f>M107*L107</f>
        <v>774638.38468731253</v>
      </c>
      <c r="O107" s="18" t="s">
        <v>317</v>
      </c>
    </row>
    <row r="108" spans="9:15" x14ac:dyDescent="0.25">
      <c r="I108" s="110" t="str">
        <f>'ASSUMPTIONS 1'!C47</f>
        <v>Establishment of Environmental Protection</v>
      </c>
      <c r="J108" s="18"/>
      <c r="K108" s="18"/>
      <c r="L108" s="18"/>
      <c r="M108" s="18"/>
      <c r="N108" s="94">
        <f>SUM(N107)</f>
        <v>774638.38468731253</v>
      </c>
      <c r="O108" s="18" t="s">
        <v>318</v>
      </c>
    </row>
    <row r="109" spans="9:15" x14ac:dyDescent="0.25">
      <c r="I109" s="95"/>
      <c r="J109" s="95"/>
      <c r="K109" s="95"/>
      <c r="L109" s="95"/>
      <c r="M109" s="95"/>
      <c r="N109" s="96"/>
      <c r="O109" s="95"/>
    </row>
  </sheetData>
  <sheetProtection algorithmName="SHA-512" hashValue="g+JgQVxlts5sx9nvQR1RQJIYZY1byZ2T367ruGE1K4BTbUJloIWpbSPMTI5XNsTom6SK8mTKYXgiCnjHLJhX8Q==" saltValue="vNS1emmC8trRCRZqyi4BSw==" spinCount="100000" sheet="1" objects="1" scenarios="1" selectLockedCells="1"/>
  <mergeCells count="13">
    <mergeCell ref="B47:D47"/>
    <mergeCell ref="B60:D60"/>
    <mergeCell ref="B77:C77"/>
    <mergeCell ref="G35:G44"/>
    <mergeCell ref="G48:G57"/>
    <mergeCell ref="G61:G70"/>
    <mergeCell ref="B2:E2"/>
    <mergeCell ref="I2:O2"/>
    <mergeCell ref="C4:C8"/>
    <mergeCell ref="B13:E13"/>
    <mergeCell ref="B34:D34"/>
    <mergeCell ref="G15:G32"/>
    <mergeCell ref="G4:G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AC6BC923D16C40B5105B04462B2D92" ma:contentTypeVersion="20" ma:contentTypeDescription="Create a new document." ma:contentTypeScope="" ma:versionID="aef84b7e4a117f05457dcf680157e5a5">
  <xsd:schema xmlns:xsd="http://www.w3.org/2001/XMLSchema" xmlns:xs="http://www.w3.org/2001/XMLSchema" xmlns:p="http://schemas.microsoft.com/office/2006/metadata/properties" xmlns:ns2="72ec9ffe-0460-410c-91ee-3a737a4020a1" xmlns:ns3="83082e1b-c201-461b-b5a1-87a0a3db5f32" targetNamespace="http://schemas.microsoft.com/office/2006/metadata/properties" ma:root="true" ma:fieldsID="f5b5ca0db3fc5ed72ce146ac12e01ea1" ns2:_="" ns3:_="">
    <xsd:import namespace="72ec9ffe-0460-410c-91ee-3a737a4020a1"/>
    <xsd:import namespace="83082e1b-c201-461b-b5a1-87a0a3db5f3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TaxCatchAll" minOccurs="0"/>
                <xsd:element ref="ns2:lcf76f155ced4ddcb4097134ff3c332f"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ec9ffe-0460-410c-91ee-3a737a4020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82e1b-c201-461b-b5a1-87a0a3db5f3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2d3114b-b4fc-4bfc-bb7e-d114c31a7184}" ma:internalName="TaxCatchAll" ma:showField="CatchAllData" ma:web="83082e1b-c201-461b-b5a1-87a0a3db5f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3082e1b-c201-461b-b5a1-87a0a3db5f32" xsi:nil="true"/>
    <lcf76f155ced4ddcb4097134ff3c332f xmlns="72ec9ffe-0460-410c-91ee-3a737a4020a1">
      <Terms xmlns="http://schemas.microsoft.com/office/infopath/2007/PartnerControls"/>
    </lcf76f155ced4ddcb4097134ff3c332f>
    <SharedWithUsers xmlns="83082e1b-c201-461b-b5a1-87a0a3db5f32">
      <UserInfo>
        <DisplayName>Phillipa Duncan</DisplayName>
        <AccountId>49</AccountId>
        <AccountType/>
      </UserInfo>
      <UserInfo>
        <DisplayName>Anastassia Kouxenko</DisplayName>
        <AccountId>541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EA1C4F-9253-47BB-A67D-0DE82D91695D}"/>
</file>

<file path=customXml/itemProps2.xml><?xml version="1.0" encoding="utf-8"?>
<ds:datastoreItem xmlns:ds="http://schemas.openxmlformats.org/officeDocument/2006/customXml" ds:itemID="{BA83BD14-6388-47DD-809B-38FE93554CBD}">
  <ds:schemaRefs>
    <ds:schemaRef ds:uri="http://schemas.openxmlformats.org/package/2006/metadata/core-properties"/>
    <ds:schemaRef ds:uri="http://purl.org/dc/elements/1.1/"/>
    <ds:schemaRef ds:uri="http://www.w3.org/XML/1998/namespace"/>
    <ds:schemaRef ds:uri="http://purl.org/dc/terms/"/>
    <ds:schemaRef ds:uri="http://schemas.microsoft.com/office/2006/documentManagement/types"/>
    <ds:schemaRef ds:uri="58d3dbf1-99a2-46db-9122-ae23997b20b0"/>
    <ds:schemaRef ds:uri="http://schemas.microsoft.com/office/infopath/2007/PartnerControls"/>
    <ds:schemaRef ds:uri="http://schemas.microsoft.com/office/2006/metadata/properties"/>
    <ds:schemaRef ds:uri="http://purl.org/dc/dcmitype/"/>
    <ds:schemaRef ds:uri="http://schemas.microsoft.com/sharepoint/v3"/>
    <ds:schemaRef ds:uri="5f09b715-9c8c-4019-a5ba-ddee52b25758"/>
    <ds:schemaRef ds:uri="67bc3c54-1dd9-4f66-a456-139d6b3611c9"/>
  </ds:schemaRefs>
</ds:datastoreItem>
</file>

<file path=customXml/itemProps3.xml><?xml version="1.0" encoding="utf-8"?>
<ds:datastoreItem xmlns:ds="http://schemas.openxmlformats.org/officeDocument/2006/customXml" ds:itemID="{D4AF36E6-437A-4E55-8FCD-6015774740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HOW TO USE</vt:lpstr>
      <vt:lpstr>CALCULATOR</vt:lpstr>
      <vt:lpstr>ASSUMPTIONS 1</vt:lpstr>
      <vt:lpstr>ASSUMPTIONS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Solar Energy Decomisioning Calculator</dc:title>
  <dc:subject>Renewable energy</dc:subject>
  <dc:creator>NSW Department of Planning, Housing and Infrastructure</dc:creator>
  <dcterms:created xsi:type="dcterms:W3CDTF">2023-04-05T23:12:32Z</dcterms:created>
  <dcterms:modified xsi:type="dcterms:W3CDTF">2024-11-06T04:38:23Z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0x010100BAAC6BC923D16C40B5105B04462B2D92</vt:lpwstr>
  </property>
  <property fmtid="{D5CDD505-2E9C-101B-9397-08002B2CF9AE}" pid="3" name="MediaServiceImageTags">
    <vt:lpwstr/>
  </property>
</Properties>
</file>