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environmentnswgov.sharepoint.com/sites/MST_DPE_EnergyandResourcesPolicy/Shared Documents/02. Energy Policy Framework/08. Published Documents 2024/Tools/"/>
    </mc:Choice>
  </mc:AlternateContent>
  <xr:revisionPtr revIDLastSave="0" documentId="8_{93C115DD-6E34-4E61-AB28-6D94F8D86B7D}" xr6:coauthVersionLast="47" xr6:coauthVersionMax="47" xr10:uidLastSave="{00000000-0000-0000-0000-000000000000}"/>
  <workbookProtection workbookAlgorithmName="SHA-512" workbookHashValue="6zOkRmw/SFyYC1A6gbpGiQHiW92ySlcgtne0qy7FaW4DSDOZik+Cfos6Bn5DpAoD7a+UrVYRBDXpBeaQGs9uWA==" workbookSaltValue="Mwxna9oqZii/znCzGj175A==" workbookSpinCount="100000" lockStructure="1"/>
  <bookViews>
    <workbookView xWindow="-120" yWindow="-120" windowWidth="51840" windowHeight="21240" xr2:uid="{A4534FBA-0F2E-4903-81F9-C22FB3494B78}"/>
  </bookViews>
  <sheets>
    <sheet name="HOW TO USE" sheetId="7" r:id="rId1"/>
    <sheet name="INPUT-OUTPUT" sheetId="3" r:id="rId2"/>
    <sheet name="ESTIMATE" sheetId="1" r:id="rId3"/>
    <sheet name="CREWS"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1" l="1"/>
  <c r="I104" i="2"/>
  <c r="L103" i="2"/>
  <c r="N103" i="2"/>
  <c r="N104" i="2" s="1"/>
  <c r="M51" i="2" l="1"/>
  <c r="F69" i="1"/>
  <c r="F68" i="1"/>
  <c r="F67" i="1"/>
  <c r="D49" i="1"/>
  <c r="D46" i="1"/>
  <c r="E29" i="1"/>
  <c r="N51" i="2" l="1"/>
  <c r="F29" i="1" l="1"/>
  <c r="I29" i="1" s="1"/>
  <c r="F10" i="1"/>
  <c r="D24" i="2"/>
  <c r="T68" i="1" l="1"/>
  <c r="T67" i="1"/>
  <c r="T66" i="1"/>
  <c r="T65" i="1"/>
  <c r="T64" i="1"/>
  <c r="T63" i="1"/>
  <c r="T62" i="1"/>
  <c r="Q68" i="1"/>
  <c r="Q67" i="1"/>
  <c r="Q66" i="1"/>
  <c r="Q65" i="1"/>
  <c r="Q64" i="1"/>
  <c r="Q63" i="1"/>
  <c r="Q62" i="1"/>
  <c r="Q69" i="1" l="1"/>
  <c r="L46" i="2"/>
  <c r="H44" i="2"/>
  <c r="H45" i="2"/>
  <c r="G45" i="2"/>
  <c r="G44" i="2"/>
  <c r="E14" i="3" l="1"/>
  <c r="L5" i="3" l="1"/>
  <c r="E7" i="1" s="1"/>
  <c r="L6" i="3"/>
  <c r="E15" i="1" s="1"/>
  <c r="L7" i="3"/>
  <c r="L8" i="3"/>
  <c r="L9" i="3"/>
  <c r="L10" i="3"/>
  <c r="L11" i="3"/>
  <c r="L12" i="3"/>
  <c r="L13" i="3"/>
  <c r="L14" i="3"/>
  <c r="L4" i="3"/>
  <c r="E21" i="1" s="1"/>
  <c r="E28" i="1"/>
  <c r="E11" i="1" l="1"/>
  <c r="E14" i="1" s="1"/>
  <c r="E22" i="1"/>
  <c r="E16" i="1"/>
  <c r="E17" i="1" s="1"/>
  <c r="E20" i="1" s="1"/>
  <c r="E35" i="1"/>
  <c r="E34" i="1"/>
  <c r="E27" i="1"/>
  <c r="E26" i="1"/>
  <c r="E25" i="1"/>
  <c r="H69" i="1"/>
  <c r="H63" i="1"/>
  <c r="H64" i="1"/>
  <c r="H65" i="1"/>
  <c r="H66" i="1"/>
  <c r="H67" i="1"/>
  <c r="H68" i="1"/>
  <c r="H62" i="1"/>
  <c r="F64" i="1"/>
  <c r="F62" i="1"/>
  <c r="F63" i="1"/>
  <c r="I39" i="1"/>
  <c r="D47" i="2"/>
  <c r="D34" i="2"/>
  <c r="D51" i="2"/>
  <c r="D38" i="2"/>
  <c r="G27" i="1"/>
  <c r="I38" i="1" l="1"/>
  <c r="F35" i="1"/>
  <c r="F34" i="1"/>
  <c r="I34" i="1"/>
  <c r="M6" i="1"/>
  <c r="M7" i="1"/>
  <c r="M8" i="1"/>
  <c r="M11" i="1"/>
  <c r="M15" i="1"/>
  <c r="M16" i="1"/>
  <c r="M17" i="1"/>
  <c r="M21" i="1"/>
  <c r="M22" i="1"/>
  <c r="M24" i="1"/>
  <c r="M25" i="1"/>
  <c r="M27" i="1"/>
  <c r="M5" i="1"/>
  <c r="L40" i="2"/>
  <c r="L90" i="2"/>
  <c r="L22" i="2"/>
  <c r="F30" i="1"/>
  <c r="H28" i="1"/>
  <c r="H27" i="1"/>
  <c r="M38" i="1" l="1"/>
  <c r="I35" i="1" s="1"/>
  <c r="E30" i="1"/>
  <c r="E31" i="1"/>
  <c r="I31" i="1" s="1"/>
  <c r="E62" i="1" l="1"/>
  <c r="E69" i="1"/>
  <c r="I69" i="1" s="1"/>
  <c r="E68" i="1"/>
  <c r="I68" i="1" s="1"/>
  <c r="E67" i="1"/>
  <c r="I67" i="1" s="1"/>
  <c r="E64" i="1"/>
  <c r="I64" i="1" s="1"/>
  <c r="E63" i="1"/>
  <c r="F18" i="1"/>
  <c r="M100" i="2"/>
  <c r="L100" i="2"/>
  <c r="M99" i="2"/>
  <c r="L99" i="2"/>
  <c r="L97" i="2"/>
  <c r="M98" i="2"/>
  <c r="L98" i="2"/>
  <c r="M97" i="2"/>
  <c r="M96" i="2"/>
  <c r="L96" i="2"/>
  <c r="M95" i="2"/>
  <c r="L95" i="2"/>
  <c r="M92" i="2"/>
  <c r="L92" i="2"/>
  <c r="M91" i="2"/>
  <c r="L91" i="2"/>
  <c r="M90" i="2"/>
  <c r="M89" i="2"/>
  <c r="L89" i="2"/>
  <c r="M88" i="2"/>
  <c r="L88" i="2"/>
  <c r="M87" i="2"/>
  <c r="L87" i="2"/>
  <c r="G15" i="1"/>
  <c r="M84" i="2"/>
  <c r="L84" i="2"/>
  <c r="M83" i="2"/>
  <c r="L83" i="2"/>
  <c r="M82" i="2"/>
  <c r="L82" i="2"/>
  <c r="M81" i="2"/>
  <c r="L81" i="2"/>
  <c r="M80" i="2"/>
  <c r="L80" i="2"/>
  <c r="L75" i="2"/>
  <c r="M77" i="2"/>
  <c r="L77" i="2"/>
  <c r="M76" i="2"/>
  <c r="L76" i="2"/>
  <c r="M75" i="2"/>
  <c r="I45" i="1"/>
  <c r="I47" i="1"/>
  <c r="E48" i="1"/>
  <c r="I48" i="1" s="1"/>
  <c r="E32" i="1"/>
  <c r="E33" i="1" s="1"/>
  <c r="F20" i="1"/>
  <c r="M44" i="2"/>
  <c r="E9" i="1"/>
  <c r="H9" i="1" s="1"/>
  <c r="E5" i="1"/>
  <c r="H5" i="1" s="1"/>
  <c r="E8" i="1"/>
  <c r="E6" i="1"/>
  <c r="E65" i="1" s="1"/>
  <c r="N98" i="2" l="1"/>
  <c r="E37" i="1"/>
  <c r="I37" i="1" s="1"/>
  <c r="E36" i="1"/>
  <c r="I36" i="1" s="1"/>
  <c r="I65" i="1"/>
  <c r="E19" i="1"/>
  <c r="H15" i="1"/>
  <c r="I62" i="1"/>
  <c r="I63" i="1"/>
  <c r="H6" i="1"/>
  <c r="H21" i="1"/>
  <c r="N100" i="2"/>
  <c r="N97" i="2"/>
  <c r="N99" i="2"/>
  <c r="N92" i="2"/>
  <c r="E18" i="1"/>
  <c r="H18" i="1" s="1"/>
  <c r="N87" i="2"/>
  <c r="N96" i="2"/>
  <c r="N95" i="2"/>
  <c r="N89" i="2"/>
  <c r="N88" i="2"/>
  <c r="N81" i="2"/>
  <c r="N90" i="2"/>
  <c r="N82" i="2"/>
  <c r="N91" i="2"/>
  <c r="N75" i="2"/>
  <c r="N80" i="2"/>
  <c r="N77" i="2"/>
  <c r="N83" i="2"/>
  <c r="N84" i="2"/>
  <c r="N76" i="2"/>
  <c r="E13" i="1"/>
  <c r="E66" i="1" s="1"/>
  <c r="L44" i="2"/>
  <c r="N44" i="2" s="1"/>
  <c r="I33" i="1"/>
  <c r="M72" i="2"/>
  <c r="M71" i="2"/>
  <c r="M70" i="2"/>
  <c r="M69" i="2"/>
  <c r="L70" i="2"/>
  <c r="L72" i="2"/>
  <c r="L71" i="2"/>
  <c r="L69" i="2"/>
  <c r="H32" i="1"/>
  <c r="L64" i="2"/>
  <c r="L63" i="2"/>
  <c r="M66" i="2"/>
  <c r="M65" i="2"/>
  <c r="L66" i="2"/>
  <c r="L65" i="2"/>
  <c r="M64" i="2"/>
  <c r="M63" i="2"/>
  <c r="I26" i="1"/>
  <c r="G25" i="1"/>
  <c r="G12" i="1"/>
  <c r="H24" i="1"/>
  <c r="M60" i="2"/>
  <c r="L60" i="2"/>
  <c r="M59" i="2"/>
  <c r="L59" i="2"/>
  <c r="M58" i="2"/>
  <c r="H16" i="1"/>
  <c r="H11" i="1"/>
  <c r="M55" i="2"/>
  <c r="L55" i="2"/>
  <c r="D39" i="2"/>
  <c r="D42" i="2" s="1"/>
  <c r="M54" i="2"/>
  <c r="M53" i="2"/>
  <c r="L54" i="2"/>
  <c r="E10" i="1"/>
  <c r="I10" i="1" s="1"/>
  <c r="H7" i="1"/>
  <c r="M9" i="2"/>
  <c r="L9" i="2"/>
  <c r="L8" i="2"/>
  <c r="L10" i="2"/>
  <c r="L49" i="2"/>
  <c r="L48" i="2"/>
  <c r="M47" i="2"/>
  <c r="M49" i="2"/>
  <c r="N49" i="2" s="1"/>
  <c r="M48" i="2"/>
  <c r="M46" i="2"/>
  <c r="M45" i="2"/>
  <c r="L47" i="2"/>
  <c r="M41" i="2"/>
  <c r="M17" i="2"/>
  <c r="M10" i="2"/>
  <c r="M40" i="2"/>
  <c r="M39" i="2"/>
  <c r="M38" i="2"/>
  <c r="M37" i="2"/>
  <c r="M36" i="2"/>
  <c r="L39" i="2"/>
  <c r="L41" i="2"/>
  <c r="L38" i="2"/>
  <c r="L37" i="2"/>
  <c r="L36" i="2"/>
  <c r="L29" i="2"/>
  <c r="M33" i="2"/>
  <c r="M32" i="2"/>
  <c r="M31" i="2"/>
  <c r="M30" i="2"/>
  <c r="M29" i="2"/>
  <c r="M28" i="2"/>
  <c r="L33" i="2"/>
  <c r="L32" i="2"/>
  <c r="L31" i="2"/>
  <c r="L30" i="2"/>
  <c r="L28" i="2"/>
  <c r="M22" i="2"/>
  <c r="L21" i="2"/>
  <c r="M24" i="2"/>
  <c r="M23" i="2"/>
  <c r="M21" i="2"/>
  <c r="M20" i="2"/>
  <c r="L24" i="2"/>
  <c r="L23" i="2"/>
  <c r="L20" i="2"/>
  <c r="L15" i="2"/>
  <c r="L17" i="2"/>
  <c r="M16" i="2"/>
  <c r="L16" i="2"/>
  <c r="M15" i="2"/>
  <c r="M14" i="2"/>
  <c r="M13" i="2"/>
  <c r="L14" i="2"/>
  <c r="L13" i="2"/>
  <c r="M8" i="2"/>
  <c r="L7" i="2"/>
  <c r="M7" i="2"/>
  <c r="M4" i="2"/>
  <c r="L4" i="2"/>
  <c r="I66" i="1" l="1"/>
  <c r="I71" i="1" s="1"/>
  <c r="E52" i="3" s="1"/>
  <c r="E23" i="1"/>
  <c r="I23" i="1" s="1"/>
  <c r="N101" i="2"/>
  <c r="I19" i="1"/>
  <c r="I20" i="1"/>
  <c r="H17" i="1"/>
  <c r="N93" i="2"/>
  <c r="F17" i="1" s="1"/>
  <c r="N72" i="2"/>
  <c r="N21" i="2"/>
  <c r="N85" i="2"/>
  <c r="N63" i="2"/>
  <c r="N64" i="2"/>
  <c r="N65" i="2"/>
  <c r="N66" i="2"/>
  <c r="H25" i="1"/>
  <c r="N69" i="2"/>
  <c r="N71" i="2"/>
  <c r="N78" i="2"/>
  <c r="F7" i="1" s="1"/>
  <c r="N70" i="2"/>
  <c r="L45" i="2"/>
  <c r="N45" i="2" s="1"/>
  <c r="N9" i="2"/>
  <c r="N60" i="2"/>
  <c r="E12" i="1"/>
  <c r="H12" i="1" s="1"/>
  <c r="I18" i="1"/>
  <c r="N59" i="2"/>
  <c r="H8" i="1"/>
  <c r="N55" i="2"/>
  <c r="N54" i="2"/>
  <c r="D43" i="2"/>
  <c r="L53" i="2" s="1"/>
  <c r="N53" i="2" s="1"/>
  <c r="N48" i="2"/>
  <c r="N40" i="2"/>
  <c r="N46" i="2"/>
  <c r="N47" i="2"/>
  <c r="N17" i="2"/>
  <c r="N38" i="2"/>
  <c r="N39" i="2"/>
  <c r="N15" i="2"/>
  <c r="N37" i="2"/>
  <c r="N41" i="2"/>
  <c r="N36" i="2"/>
  <c r="N29" i="2"/>
  <c r="N28" i="2"/>
  <c r="N30" i="2"/>
  <c r="N31" i="2"/>
  <c r="N32" i="2"/>
  <c r="N33" i="2"/>
  <c r="N13" i="2"/>
  <c r="N14" i="2"/>
  <c r="N4" i="2"/>
  <c r="N5" i="2" s="1"/>
  <c r="N20" i="2"/>
  <c r="N22" i="2"/>
  <c r="N23" i="2"/>
  <c r="N10" i="2"/>
  <c r="N24" i="2"/>
  <c r="N16" i="2"/>
  <c r="N8" i="2"/>
  <c r="N7" i="2"/>
  <c r="N50" i="2" l="1"/>
  <c r="F5" i="1"/>
  <c r="I5" i="1" s="1"/>
  <c r="D52" i="2"/>
  <c r="D55" i="2" s="1"/>
  <c r="F28" i="1"/>
  <c r="I28" i="1" s="1"/>
  <c r="F27" i="1"/>
  <c r="I27" i="1" s="1"/>
  <c r="F15" i="1"/>
  <c r="I15" i="1" s="1"/>
  <c r="I17" i="1"/>
  <c r="N67" i="2"/>
  <c r="I49" i="1"/>
  <c r="I46" i="1"/>
  <c r="N73" i="2"/>
  <c r="N56" i="2"/>
  <c r="H22" i="1"/>
  <c r="N42" i="2"/>
  <c r="N11" i="2"/>
  <c r="F6" i="1" s="1"/>
  <c r="N34" i="2"/>
  <c r="N18" i="2"/>
  <c r="N26" i="2"/>
  <c r="F16" i="1" s="1"/>
  <c r="G30" i="1" l="1"/>
  <c r="H30" i="1" s="1"/>
  <c r="I30" i="1" s="1"/>
  <c r="D56" i="2"/>
  <c r="L58" i="2" s="1"/>
  <c r="N58" i="2" s="1"/>
  <c r="N61" i="2" s="1"/>
  <c r="F32" i="1"/>
  <c r="I32" i="1" s="1"/>
  <c r="F11" i="1"/>
  <c r="I11" i="1" s="1"/>
  <c r="F21" i="1"/>
  <c r="I21" i="1" s="1"/>
  <c r="F24" i="1"/>
  <c r="I24" i="1" s="1"/>
  <c r="F8" i="1"/>
  <c r="I8" i="1" s="1"/>
  <c r="F9" i="1"/>
  <c r="I9" i="1" s="1"/>
  <c r="F12" i="1"/>
  <c r="I12" i="1" s="1"/>
  <c r="F25" i="1"/>
  <c r="I25" i="1" s="1"/>
  <c r="I16" i="1"/>
  <c r="I7" i="1"/>
  <c r="I6" i="1"/>
  <c r="F22" i="1" l="1"/>
  <c r="I22" i="1" s="1"/>
  <c r="I40" i="1" s="1"/>
  <c r="E50" i="1" l="1"/>
  <c r="I50" i="1" s="1"/>
  <c r="I51" i="1" s="1"/>
  <c r="I53" i="1" s="1"/>
  <c r="I54" i="1" s="1"/>
  <c r="I55" i="1" l="1"/>
  <c r="I56" i="1" l="1"/>
  <c r="I57" i="1" s="1"/>
  <c r="I59" i="1" l="1"/>
  <c r="I74" i="1"/>
  <c r="I75" i="1" s="1"/>
  <c r="E51" i="3"/>
  <c r="E54" i="3" l="1"/>
  <c r="E56" i="3"/>
  <c r="E53" i="3"/>
  <c r="E55" i="3" s="1"/>
  <c r="E57" i="3" l="1"/>
</calcChain>
</file>

<file path=xl/sharedStrings.xml><?xml version="1.0" encoding="utf-8"?>
<sst xmlns="http://schemas.openxmlformats.org/spreadsheetml/2006/main" count="808" uniqueCount="381">
  <si>
    <t>DESCRIPTION</t>
  </si>
  <si>
    <t>UNIT</t>
  </si>
  <si>
    <t>QUANTITY</t>
  </si>
  <si>
    <t>COMMENT</t>
  </si>
  <si>
    <t>each</t>
  </si>
  <si>
    <t>m</t>
  </si>
  <si>
    <t>This is one function of main crane size</t>
  </si>
  <si>
    <t>This will affect the productivity, productivity will be less since the inefficiency increases</t>
  </si>
  <si>
    <t>tonne</t>
  </si>
  <si>
    <t>This is onether function of main crane size</t>
  </si>
  <si>
    <t>km</t>
  </si>
  <si>
    <t>Distance to Landfill</t>
  </si>
  <si>
    <t>This will affect the cost of transport</t>
  </si>
  <si>
    <t>WIND TURBINE DECOMMISSION INPUTS</t>
  </si>
  <si>
    <t>RATE</t>
  </si>
  <si>
    <t>LAB-CW2</t>
  </si>
  <si>
    <t>General Labour</t>
  </si>
  <si>
    <t>LAB-CW5</t>
  </si>
  <si>
    <t>Qualified Trade</t>
  </si>
  <si>
    <t>LAB-CW6</t>
  </si>
  <si>
    <t>Operator</t>
  </si>
  <si>
    <t>LAB-CW3</t>
  </si>
  <si>
    <t>Fitter</t>
  </si>
  <si>
    <t>HR</t>
  </si>
  <si>
    <t>LABOUR RATES USED</t>
  </si>
  <si>
    <t>QTY</t>
  </si>
  <si>
    <t>Hours Per Day</t>
  </si>
  <si>
    <t>hr</t>
  </si>
  <si>
    <t>INCLUSION</t>
  </si>
  <si>
    <t>TOTAL RATE PER DAY</t>
  </si>
  <si>
    <t>Electrical Works</t>
  </si>
  <si>
    <t>Electrical Works Total</t>
  </si>
  <si>
    <t>CREW RATES PER DAY</t>
  </si>
  <si>
    <t>Cable Removal</t>
  </si>
  <si>
    <t>Liquid Waste Specialist</t>
  </si>
  <si>
    <t>Small Tools</t>
  </si>
  <si>
    <t>PLANT RATES USED</t>
  </si>
  <si>
    <t>Excavator 30T</t>
  </si>
  <si>
    <t>day</t>
  </si>
  <si>
    <t>Tipper 20T</t>
  </si>
  <si>
    <t xml:space="preserve">Excavator </t>
  </si>
  <si>
    <t>Hammer</t>
  </si>
  <si>
    <t>Concrete Breaker</t>
  </si>
  <si>
    <t>Labour</t>
  </si>
  <si>
    <t>Tipper</t>
  </si>
  <si>
    <t>Taking the concrete to site stockpile</t>
  </si>
  <si>
    <t>Tools</t>
  </si>
  <si>
    <t>Concrete Crew Total</t>
  </si>
  <si>
    <t>Excavator</t>
  </si>
  <si>
    <t>Roller</t>
  </si>
  <si>
    <t>Watercart 12-15KL</t>
  </si>
  <si>
    <t>Roller 15-20T</t>
  </si>
  <si>
    <t>Watercart</t>
  </si>
  <si>
    <t>Hammer 30T</t>
  </si>
  <si>
    <t>Excavator 20T</t>
  </si>
  <si>
    <t>Hammer 20T</t>
  </si>
  <si>
    <t>Grader</t>
  </si>
  <si>
    <t>Grader 140</t>
  </si>
  <si>
    <t>Road/Crane Pad Crew</t>
  </si>
  <si>
    <t>One excavator breaking, one excavator loading</t>
  </si>
  <si>
    <t>Building Crew</t>
  </si>
  <si>
    <t xml:space="preserve">Main Crane </t>
  </si>
  <si>
    <t>Support Crane</t>
  </si>
  <si>
    <t>Mobile 200T</t>
  </si>
  <si>
    <t xml:space="preserve">Rigger </t>
  </si>
  <si>
    <t>Lift</t>
  </si>
  <si>
    <t>Turbine Crew</t>
  </si>
  <si>
    <t>ITEM NO</t>
  </si>
  <si>
    <t>CREW</t>
  </si>
  <si>
    <t>DURATION (DAYS)</t>
  </si>
  <si>
    <t>lt</t>
  </si>
  <si>
    <t>Removal of Liquid</t>
  </si>
  <si>
    <t>Internal Mob/Demob</t>
  </si>
  <si>
    <t>m3</t>
  </si>
  <si>
    <t>T&amp;D</t>
  </si>
  <si>
    <t>Truck</t>
  </si>
  <si>
    <t xml:space="preserve">T&amp;D Capacity </t>
  </si>
  <si>
    <t>Concrete Loading PR</t>
  </si>
  <si>
    <t>m3/hr</t>
  </si>
  <si>
    <t>Distance</t>
  </si>
  <si>
    <t>Speed</t>
  </si>
  <si>
    <t>km/hr</t>
  </si>
  <si>
    <t>Loading Time</t>
  </si>
  <si>
    <t>Haulage Time</t>
  </si>
  <si>
    <t>min</t>
  </si>
  <si>
    <t>Unloading</t>
  </si>
  <si>
    <t>Change Trucks</t>
  </si>
  <si>
    <t>NO TRUCKS CONCRETE DISPOSAL</t>
  </si>
  <si>
    <t>Total Cycle Time</t>
  </si>
  <si>
    <t>Number of Trucks</t>
  </si>
  <si>
    <t>Concrete Disposal Crew</t>
  </si>
  <si>
    <t>Disposal Fee</t>
  </si>
  <si>
    <t>Removal of Turbine Concrete Footing</t>
  </si>
  <si>
    <t>Removal Of Conduits/Cables</t>
  </si>
  <si>
    <t>Conduit Disposal - T&amp;D</t>
  </si>
  <si>
    <t>Removal of Access Road</t>
  </si>
  <si>
    <t>m2</t>
  </si>
  <si>
    <t>Assumed cables are by the road and 5m wide</t>
  </si>
  <si>
    <t>NO TRUCKS ROAD MATERIAL DISPOSAL</t>
  </si>
  <si>
    <t>Loading PR</t>
  </si>
  <si>
    <t>Road Material Disposal</t>
  </si>
  <si>
    <t>Per day PR is 30x10=300m3. Hence one excavator can load up to 750tonne/30 = 25 trucks</t>
  </si>
  <si>
    <t>Per day PR is 75*10=750m3 per day. Hence one excavator can load up to 1350tonne/30 = 45 T&amp;D</t>
  </si>
  <si>
    <t>Assumed 50 tonne debris per building and in total 3 buildings. One admin, two electrical</t>
  </si>
  <si>
    <t>Topsoiling</t>
  </si>
  <si>
    <t>Assumed for removed access road, removed buildings and removed turbines</t>
  </si>
  <si>
    <t>Hydroseeding</t>
  </si>
  <si>
    <t>Transport Turbine Material Off Site</t>
  </si>
  <si>
    <t>Crane</t>
  </si>
  <si>
    <t xml:space="preserve">Truck </t>
  </si>
  <si>
    <t>Rigger</t>
  </si>
  <si>
    <t>Turbine Material Disposal</t>
  </si>
  <si>
    <t>Assumed that tower will be transported in 4 pieces, generator will be transported in 10 pieces and blades in 3 pieces. Hence, there will be 17 truck loads for one turbine</t>
  </si>
  <si>
    <t>Road Train/Semi Trailer</t>
  </si>
  <si>
    <t>Watecart</t>
  </si>
  <si>
    <t>Topsoil Crew</t>
  </si>
  <si>
    <t>AMOUNT</t>
  </si>
  <si>
    <t>Establishment of Envrionmental Protection</t>
  </si>
  <si>
    <t>Maintenance of Environmental Protection</t>
  </si>
  <si>
    <t>week</t>
  </si>
  <si>
    <t>LS</t>
  </si>
  <si>
    <t xml:space="preserve">Traffic Management </t>
  </si>
  <si>
    <t>DECOMMISSIONING OF WIND TURBINE DIRECT JOB COST</t>
  </si>
  <si>
    <t xml:space="preserve">DECOMMSSIONING OF WIND TURBINE INDIRECT JOB COST </t>
  </si>
  <si>
    <t>TOTAL DIRECT JOB COST</t>
  </si>
  <si>
    <t>TOTAL INDIRECT JOB COST</t>
  </si>
  <si>
    <t>Plan area of foundation above existing ground</t>
  </si>
  <si>
    <t>Height of Foundation above Existing ground</t>
  </si>
  <si>
    <t>Assumed 4 Turbines Per Day- Isolate each Turbine</t>
  </si>
  <si>
    <t>2 man crew</t>
  </si>
  <si>
    <t>Liquid Waste removal</t>
  </si>
  <si>
    <t>Fluid Removal Total</t>
  </si>
  <si>
    <t>Cable Removal Crew</t>
  </si>
  <si>
    <t>TOTAL AMOUNT ($)</t>
  </si>
  <si>
    <t>Removal of Turbine/Blades/Tower</t>
  </si>
  <si>
    <t>RATE PER UNIT</t>
  </si>
  <si>
    <t>PRODUCTIVITY PER  UNIT</t>
  </si>
  <si>
    <t>Disassemble Tower 1 tower per day</t>
  </si>
  <si>
    <t>Plant &amp; Equipment</t>
  </si>
  <si>
    <t>Personnel</t>
  </si>
  <si>
    <t>Each</t>
  </si>
  <si>
    <t>mass</t>
  </si>
  <si>
    <t>height</t>
  </si>
  <si>
    <t>Mobile 150T</t>
  </si>
  <si>
    <t>Boom lift 40m</t>
  </si>
  <si>
    <t>Recovery Steel</t>
  </si>
  <si>
    <t>Disposal Fee - conduits</t>
  </si>
  <si>
    <t>Disposal Fee -pits</t>
  </si>
  <si>
    <t>Site won material - from onsite borrow pit - maybe reused access road material</t>
  </si>
  <si>
    <t>Assumed road formation assumed 150mm recovered and topdressed</t>
  </si>
  <si>
    <t>Removal of Buildings</t>
  </si>
  <si>
    <t>Boom Lift 40m</t>
  </si>
  <si>
    <t>4 man crew</t>
  </si>
  <si>
    <t>Overall Site Size</t>
  </si>
  <si>
    <t>Ha</t>
  </si>
  <si>
    <t>Construction of Site Office Demob</t>
  </si>
  <si>
    <t>Construction of Site Office recurring cost</t>
  </si>
  <si>
    <t>Subtotal</t>
  </si>
  <si>
    <t>Uplift Margin &amp; Overheads</t>
  </si>
  <si>
    <t>Risk Allowance/Contingency</t>
  </si>
  <si>
    <t>Liquids</t>
  </si>
  <si>
    <t>Total</t>
  </si>
  <si>
    <t>Total Recovery</t>
  </si>
  <si>
    <t>per Tower</t>
  </si>
  <si>
    <t>Recovery of Material</t>
  </si>
  <si>
    <t>Yes</t>
  </si>
  <si>
    <t>Backfill Crew</t>
  </si>
  <si>
    <t>Conduit Crew Total</t>
  </si>
  <si>
    <t>Pit Crew Total</t>
  </si>
  <si>
    <t>Oxy Cutter</t>
  </si>
  <si>
    <t>Breakdown Crew</t>
  </si>
  <si>
    <t>Surface area of foundation above ground</t>
  </si>
  <si>
    <t>8 conduits removed &amp; Backfilled 20m Per hr</t>
  </si>
  <si>
    <t>NO CREWS</t>
  </si>
  <si>
    <t>NO MEN IN A CREW</t>
  </si>
  <si>
    <t>2man  crew</t>
  </si>
  <si>
    <t>1 man crew</t>
  </si>
  <si>
    <t>TOTAL MEN</t>
  </si>
  <si>
    <t>Total number of labour to be mobilised, not all of them will be on the site at the same time. Assumed that 10 hours mob, 10 hours demob and 8 hour induction</t>
  </si>
  <si>
    <t>Mobilisation</t>
  </si>
  <si>
    <t>Construction of Site Office Establishment</t>
  </si>
  <si>
    <t>Assumed 4xExc, 2xRoller, 4xTipper, 1xGrader,3xWatercart</t>
  </si>
  <si>
    <t>0.5% of Base Estimate</t>
  </si>
  <si>
    <t>RECOVERY OF MATERIALS</t>
  </si>
  <si>
    <t>Polymer Material</t>
  </si>
  <si>
    <t>Electronics</t>
  </si>
  <si>
    <t>Cables (Copper and Alloy)</t>
  </si>
  <si>
    <t>Aluminium and Alloys</t>
  </si>
  <si>
    <t>Price per Tower</t>
  </si>
  <si>
    <t>WIND TURBINE DECOMMISSION OUTPUTS</t>
  </si>
  <si>
    <t>Total Cost Exc Recovery</t>
  </si>
  <si>
    <t>Total Cost After Recovery</t>
  </si>
  <si>
    <t>Cost Per Turbine Exc Recovery</t>
  </si>
  <si>
    <t>Cost Per Turbine Inc Recovery</t>
  </si>
  <si>
    <t>The weight of 50mm conduit per m is around 0.78kg and it is assumed that there 4 conduits to be removed</t>
  </si>
  <si>
    <t>Carbon/ Glass Composites</t>
  </si>
  <si>
    <t xml:space="preserve">For one truck </t>
  </si>
  <si>
    <t>based on 2,298kgs/km</t>
  </si>
  <si>
    <t>$</t>
  </si>
  <si>
    <t>$/turbine</t>
  </si>
  <si>
    <t>Distance to Scrap/Recycle</t>
  </si>
  <si>
    <t>Recovery of Materials</t>
  </si>
  <si>
    <t>No</t>
  </si>
  <si>
    <t>Material type</t>
  </si>
  <si>
    <t>Proportion of turbine mass</t>
  </si>
  <si>
    <t>Estimated recovery rate</t>
  </si>
  <si>
    <t>Estimated recovery as a % of turbine mass</t>
  </si>
  <si>
    <t>Steel and iron materials</t>
  </si>
  <si>
    <t>Scrap metal facility</t>
  </si>
  <si>
    <t>Aluminium and alloys</t>
  </si>
  <si>
    <t>Copper and alloys</t>
  </si>
  <si>
    <t>Polymer materials</t>
  </si>
  <si>
    <t>Landfill</t>
  </si>
  <si>
    <t>N/A</t>
  </si>
  <si>
    <t>Carbon / glass composites</t>
  </si>
  <si>
    <t>Electronics / electrics</t>
  </si>
  <si>
    <t>Fuels and fluids</t>
  </si>
  <si>
    <t>Overall</t>
  </si>
  <si>
    <t>## assumed scrap values are likely to be conservative</t>
  </si>
  <si>
    <t>Landfill Disposal</t>
  </si>
  <si>
    <t xml:space="preserve">Steel </t>
  </si>
  <si>
    <t>Recover - Nil Cost - 700kg/m3</t>
  </si>
  <si>
    <t>Concrete materials</t>
  </si>
  <si>
    <t>– scrap value is $20/tonne</t>
  </si>
  <si>
    <t>Recover</t>
  </si>
  <si>
    <t>Refer Below</t>
  </si>
  <si>
    <t>Number of Cables/Conduits Below Ground</t>
  </si>
  <si>
    <t>Depth of Foundation Below Ground To Be Removed</t>
  </si>
  <si>
    <t>Access Road Base Depth</t>
  </si>
  <si>
    <t>Number of Buildings To Be Demolished</t>
  </si>
  <si>
    <t>Blade Weight Per Tower</t>
  </si>
  <si>
    <t>Oil/Grease Quantity</t>
  </si>
  <si>
    <t>WIND TURBINE TRIGER</t>
  </si>
  <si>
    <t>TRIGGER</t>
  </si>
  <si>
    <t>Haul Road Removal</t>
  </si>
  <si>
    <t>Steel and Iron Recovery</t>
  </si>
  <si>
    <t>Aluminium and Alloy Recovery</t>
  </si>
  <si>
    <t>Copper and Alloy Recovery</t>
  </si>
  <si>
    <t>Polymer Recovery</t>
  </si>
  <si>
    <t>Carbon/Glass Recovery</t>
  </si>
  <si>
    <t>Electronics Recovery</t>
  </si>
  <si>
    <t>Fuels/Fluids Recovery</t>
  </si>
  <si>
    <t>Steel &amp; iron Recovery</t>
  </si>
  <si>
    <t>%</t>
  </si>
  <si>
    <t>Assumed 3 sets of cables and the length is tower length plus 25m</t>
  </si>
  <si>
    <t>Number of Plants To Mobilise</t>
  </si>
  <si>
    <t>Crew Size</t>
  </si>
  <si>
    <t>kgs/km</t>
  </si>
  <si>
    <t>Concrete Foundation Removal</t>
  </si>
  <si>
    <t>Underground Cable/Pit Removal</t>
  </si>
  <si>
    <t>Concrete Recovery</t>
  </si>
  <si>
    <t xml:space="preserve">Topsoiling/Hydroseeding </t>
  </si>
  <si>
    <t>Potentially for removed access road, removed buildings and removed turbines</t>
  </si>
  <si>
    <t>Breakdown turbine to 26 tone loads</t>
  </si>
  <si>
    <t>Break Down Tower &amp; Turbine</t>
  </si>
  <si>
    <t>Number of Towers</t>
  </si>
  <si>
    <t>Average Turbine Size</t>
  </si>
  <si>
    <t>MW/turbine</t>
  </si>
  <si>
    <t>Nacelle Weight  Per Turbine Size</t>
  </si>
  <si>
    <t>SECTION</t>
  </si>
  <si>
    <t>Tower</t>
  </si>
  <si>
    <t>Cable/Pits</t>
  </si>
  <si>
    <t>Access Road/Make Good</t>
  </si>
  <si>
    <t>Demolish</t>
  </si>
  <si>
    <t>Mod/Demob</t>
  </si>
  <si>
    <t>Recovery</t>
  </si>
  <si>
    <t>Site Size</t>
  </si>
  <si>
    <t>Distances</t>
  </si>
  <si>
    <t>Overall Project Size</t>
  </si>
  <si>
    <t>MW</t>
  </si>
  <si>
    <t>Insert Total Mega Watts for Project</t>
  </si>
  <si>
    <t>Cost Per MW Exc Recovery</t>
  </si>
  <si>
    <t>Cost Per MW Inc Recovery</t>
  </si>
  <si>
    <t>$/MW</t>
  </si>
  <si>
    <t>per turbine</t>
  </si>
  <si>
    <t>Average Copper mass kg Per KM</t>
  </si>
  <si>
    <t>Contractor Allowance for Margin and Overheads</t>
  </si>
  <si>
    <t>Risk/Contingency Allowance</t>
  </si>
  <si>
    <t>All Cells highlighted              are INPUT variables by the user
Comments column on INPUT TAB are for user commentary associated with variables</t>
  </si>
  <si>
    <t>INPUT number of wind turbine towers for the project</t>
  </si>
  <si>
    <t>INPUT Project Power Generation in MW - used for Output Metric only</t>
  </si>
  <si>
    <t>INPUT height of tower - used for calculating crane and overall mass per metre of tower</t>
  </si>
  <si>
    <t>INPUT the overall mass of the tower</t>
  </si>
  <si>
    <t>INPUT of average size of turbine in MW generation per turbine unit</t>
  </si>
  <si>
    <t>INPUT for the overall mass of blades per turbine</t>
  </si>
  <si>
    <t>INPUT for the size of the exposed foundation, based on approximate square metres in plan to be used with the INPUT of foundation height above ground to assess the volume of foundation that is to be removed at decommissioning</t>
  </si>
  <si>
    <t>INPUT of the height above ground level for the foundation as noted in the cell above for the removal at decommissioning</t>
  </si>
  <si>
    <t>INPUT to assess the depth opf the foundation to be removed during decommissioning. The overal volume is based on Plan area x (Height above ground + depth below ground)</t>
  </si>
  <si>
    <t>lt/turbine</t>
  </si>
  <si>
    <t>tonne/turbine</t>
  </si>
  <si>
    <t>Average Tower Height</t>
  </si>
  <si>
    <t>Average Tower Weight</t>
  </si>
  <si>
    <t>INPUT the litres of oils and grease within each turbine. This volume is to be removed and disposed/recycled</t>
  </si>
  <si>
    <t>Number of Cables in Towers</t>
  </si>
  <si>
    <t>INPUT the number of cables connecting to the tower and turbine (ie within the tower). This cable length + 25m is removed during decommissioning</t>
  </si>
  <si>
    <t>INPUT for the number of inground cables. This is utilised for removal calculation and recycling subject to recylcing options selected in the calculator by the user</t>
  </si>
  <si>
    <t>INPUT the average mass of cable in kg/km (assumed as copper/copper alloy) for recycling /disposal calcultations subject to recycling options selected in the calculator by the user</t>
  </si>
  <si>
    <t>INPUT for the average pit spacing to calculate the number of pits along the cableway management network for pit removal during decommissioning</t>
  </si>
  <si>
    <t>Average Pit Intervals along cable way</t>
  </si>
  <si>
    <t>Access Road Quantity (Area)</t>
  </si>
  <si>
    <t>INPUT for the overall area of the access raods installed and to be removed decommissioning subject to the removal option selction by the user</t>
  </si>
  <si>
    <t>INPUT Guide Notes</t>
  </si>
  <si>
    <t>INPUT for the overall thickness of the access raods installed and to be removed decommissioning subject to the removal option selction by the user</t>
  </si>
  <si>
    <t>INPUT for the number of ancillary buildings structures installated for the windfarm and required to be removed at decommissioning</t>
  </si>
  <si>
    <t>INPUT for the overall size of the windfarm. This is used for the Output metrics only</t>
  </si>
  <si>
    <t>INPUT the average number of plant and equipment to be mobilsed to site by Low loader or flatbed trucks. This input is used to calculate the approximate mobilisation and demobilsation costs</t>
  </si>
  <si>
    <t>INPUT the approximate number of personnel to be mobilised to site for decommissioning. This is to calculate the approximate mobilisation cost for the crew.</t>
  </si>
  <si>
    <t>INPUT the likely percentage that is anticipted will be recycled. The remainder will be considered as disposal at a licenced waste facility and General Solid Waste.</t>
  </si>
  <si>
    <t>Refer to 'Wind Turbine Trigger' table to exclude</t>
  </si>
  <si>
    <t xml:space="preserve">INPUT for the overall mass of the nacelle including hub, transformers, and any additional turbine weights (if not included in nacelle weight) </t>
  </si>
  <si>
    <t>INPUT for the average distance between turbines. This assists in the development of cable networks, internal mobilisation, and overall onsite movements</t>
  </si>
  <si>
    <t>INPUT for the distance from site to the nearest licensed waste facility for disposal haulage and productivity calculations</t>
  </si>
  <si>
    <t>INPUT for the distance from site to the nearest scrap/recycling facility as part of the resource recovery calculations with respect to haulage and productivity</t>
  </si>
  <si>
    <t>INPUT for the allowance by the user for all onsite and offsite overheads, project management including supervision, and contractors profit/margin</t>
  </si>
  <si>
    <t>INPUT Allowance for risk and contingency that might be applicable, inlcuding but not limited to wet weather, scope creep, delays etc</t>
  </si>
  <si>
    <t>This Section is for Summary of the OUTPUT of decommisioning. It allows for commenting by user on the outcomes</t>
  </si>
  <si>
    <t>Output of the Total Decommissioning Cost without consideration to the credits that may be achieved through resource recovery</t>
  </si>
  <si>
    <t>Subject to the YES/NO  Variable by the user, this provides the approximate credit that is calculated based on the resource recovery options selected</t>
  </si>
  <si>
    <t>Output of the Total Decommissioning Cost with consideration to the credits that may be achieved through resource recovery (if applicable)</t>
  </si>
  <si>
    <t>OUT metric for decommissioning costs on a per MW basis excluding resource reciovery credits</t>
  </si>
  <si>
    <t>OUT metric for decommissioning costs on a per MW basis including resource reciovery credits</t>
  </si>
  <si>
    <t>OUT metric for decommissioning costs on a per Turbine/Tower basis excluding resource reciovery credits</t>
  </si>
  <si>
    <t>OUT metric for decommissioning costs on a per Turbine/Tower basis including resource reciovery credits</t>
  </si>
  <si>
    <t>These YES/NO Selections allow for users to customise the calculator to consider project scope</t>
  </si>
  <si>
    <t>Are haul / access raods to be removed from site? Yes will result in an increase in decommissioning costs</t>
  </si>
  <si>
    <t>Are Underground Cables and Pit to be removed from site? Yes will result in an increase in decommissioning costs</t>
  </si>
  <si>
    <t>Are tower foundations to be removed from site? (this assumes only the depth nominated as depth below ground level is removed; not the entrie foundation. Yes will result in an increase in decommissioning costs</t>
  </si>
  <si>
    <t>YES/NO Selection if material will be considered to be recycled. YES will result in resource recovery credits considered for the resource based on the percentage considered as an INPUT.</t>
  </si>
  <si>
    <t xml:space="preserve"> Assumed 25m3 per hr demolition for all concrete demolished. Noting only demolished to the depth input by user</t>
  </si>
  <si>
    <t>Density of concrete 2.45t/m3</t>
  </si>
  <si>
    <t>Avg. Distance Between Towers</t>
  </si>
  <si>
    <t>production rate is based on 75,000lt of oils removed per day</t>
  </si>
  <si>
    <t>Information ONLY - Not Used</t>
  </si>
  <si>
    <t>One T&amp;D can carry 750m of used conduit.</t>
  </si>
  <si>
    <t>Assume Concrete pit  - 900x900 pit</t>
  </si>
  <si>
    <t>The weight of 63mm conduit per m is around 1.2kg.</t>
  </si>
  <si>
    <t>Breakdown the Tower to 26tonne loads. Productivity is cutting two towers per day.</t>
  </si>
  <si>
    <t>Mobile 750T</t>
  </si>
  <si>
    <t>Mobile 250T</t>
  </si>
  <si>
    <t>Mobile Lattice 750T</t>
  </si>
  <si>
    <t>2 support cranes required</t>
  </si>
  <si>
    <t>Mobilisation of 2 support cranes</t>
  </si>
  <si>
    <t>$400,000 confirmed rate to mobilise on East Coast of Australia each way</t>
  </si>
  <si>
    <t>Indicative Scrap Value ($/tone)</t>
  </si>
  <si>
    <t>INPUT the indicative rate for resource recovery</t>
  </si>
  <si>
    <t>Residual Waste</t>
  </si>
  <si>
    <t>complete crew rate</t>
  </si>
  <si>
    <t>750t mobile Lattice crane adopted with full service crew</t>
  </si>
  <si>
    <t>Internal Mobilisation</t>
  </si>
  <si>
    <t>3 days to relocate the 750t crane for each tower</t>
  </si>
  <si>
    <t>Project Duration</t>
  </si>
  <si>
    <t>Input estimate decommissioning Duration</t>
  </si>
  <si>
    <t>weeks</t>
  </si>
  <si>
    <t>Based on 3 days per mobilisation with full crew confirmed required for each mobilisation</t>
  </si>
  <si>
    <t>Internal relocation, prestart, travel, inefficiency - 3 days for lattice crane crews</t>
  </si>
  <si>
    <t>Silt Fence Supply and Install</t>
  </si>
  <si>
    <t>Rate of $7.5/m is typical cost to suply and install silt fencing</t>
  </si>
  <si>
    <t>length of silt fence is based on 2 sides of the overall access road and  + 100m per turbine site</t>
  </si>
  <si>
    <t>Refer Crew Sheet</t>
  </si>
  <si>
    <t>Duration as input, and $1,500 typical expense allowed for maintenance and repairs after storm events</t>
  </si>
  <si>
    <t>$200,000 assumed for establishent of site</t>
  </si>
  <si>
    <t>Disestablishment of site is 33% of establishment costs</t>
  </si>
  <si>
    <t>$15,000 recurring costs for site running per week</t>
  </si>
  <si>
    <t>6 man crew</t>
  </si>
  <si>
    <t xml:space="preserve">• Decommissioning scope has been broken down to the key elements/tasks with each task containing a subset of works crews to perfomr the works. Estimates for crews are provided on the CREWS TAB
• Quantities are calculated for the INPUT by the user on the INPUT-OUT TAB, and adjusted by assumptions as detailed in the comments for items such as density
•Productovities per unit are based on assumptions iusing reasonable productivities that can be achieved by the sets for crews provided on the CREWS TAB
•All concrete is recycled at $20/tonne base don typical rates
•All steel is recycled at $100/tonne resource recovery based on avergae rates
</t>
  </si>
  <si>
    <t>Wind Energy Decomissioning Calculator</t>
  </si>
  <si>
    <t>Terms of use and disclaimer</t>
  </si>
  <si>
    <t>This calculator is provided for use by the public including persons engaging in commercial activities.</t>
  </si>
  <si>
    <t>No person or entity (including, without limitation, the State of New South Wales) associated with the development of the calculator makes any representation or warranty regarding its contents, or is liable for any loss or damage whatsoever that may result from the use of the template or any portion or variation thereof, or any other materials presented in conjunction with the calculator, or any errors or omissions in its contents.</t>
  </si>
  <si>
    <t>Users of the calculator must exercise their own skill and judgment and should seek advice from suitably qualified experts, where appropriate.</t>
  </si>
  <si>
    <t xml:space="preserve">The outputs of the calculator are estimations only and subject to a range of variables that can and will change overtime. </t>
  </si>
  <si>
    <t xml:space="preserve">How to use </t>
  </si>
  <si>
    <t xml:space="preserve">This calculator contains a range of fields that can be modified to account for the individual aspects of a project.  Other fields and information are locked to provide consistent estimations. 
Enter information into the 'CALCULATOR TAB' to determine an estimate. </t>
  </si>
  <si>
    <t>Fields that can be modified are shown in blue</t>
  </si>
  <si>
    <r>
      <t>Remove Turbine &amp;</t>
    </r>
    <r>
      <rPr>
        <sz val="11"/>
        <color rgb="FFFF0000"/>
        <rFont val="Public Sans Light"/>
        <family val="3"/>
      </rPr>
      <t xml:space="preserve"> </t>
    </r>
    <r>
      <rPr>
        <sz val="11"/>
        <rFont val="Public Sans Light"/>
        <family val="3"/>
      </rPr>
      <t>Blades 2 days to disassemble</t>
    </r>
  </si>
  <si>
    <r>
      <t>Assumed pathway is to</t>
    </r>
    <r>
      <rPr>
        <b/>
        <vertAlign val="superscript"/>
        <sz val="11"/>
        <color rgb="FFFFFFFF"/>
        <rFont val="Public Sans Light"/>
        <family val="3"/>
      </rPr>
      <t>^^</t>
    </r>
    <r>
      <rPr>
        <b/>
        <sz val="11"/>
        <color rgb="FFFFFFFF"/>
        <rFont val="Public Sans Light"/>
        <family val="3"/>
      </rPr>
      <t>:</t>
    </r>
  </si>
  <si>
    <r>
      <t xml:space="preserve">Illustrative scrap value ($/tonne) </t>
    </r>
    <r>
      <rPr>
        <b/>
        <vertAlign val="superscript"/>
        <sz val="11"/>
        <color rgb="FFFFFFFF"/>
        <rFont val="Public Sans Light"/>
        <family val="3"/>
      </rPr>
      <t>##</t>
    </r>
  </si>
  <si>
    <r>
      <t xml:space="preserve">^^ for material sent to landfill, assume a </t>
    </r>
    <r>
      <rPr>
        <b/>
        <sz val="11"/>
        <color rgb="FFFF0000"/>
        <rFont val="Public Sans Light"/>
        <family val="3"/>
      </rPr>
      <t>landfill disposal cost of $300/tonne</t>
    </r>
  </si>
  <si>
    <r>
      <t xml:space="preserve">** for the concrete foundations, assume all material is sent to a recovery facility – </t>
    </r>
    <r>
      <rPr>
        <b/>
        <sz val="11"/>
        <color rgb="FFFF0000"/>
        <rFont val="Public Sans Light"/>
        <family val="3"/>
      </rPr>
      <t>scrap value is $20/tonne</t>
    </r>
  </si>
  <si>
    <t>INPUT for the approximate duration of the decommissioning works</t>
  </si>
  <si>
    <t>INPUT for the area of reseeding/topsoiling that may be required durign decommissioning to 'make good' the lands - assumption based on topsoil and hydroseeding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</si>
</sst>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quot;$&quot;#,##0.00"/>
    <numFmt numFmtId="166" formatCode="#,##0;[Red]\(#,##0\)"/>
    <numFmt numFmtId="167" formatCode="#,##0.00;[Red]\(#,##0.00\)"/>
    <numFmt numFmtId="168" formatCode="0.0%"/>
    <numFmt numFmtId="169" formatCode="#,##0.0;[Red]\(#,##0.0\)"/>
    <numFmt numFmtId="170" formatCode="#,##0.000;\-#,##0.000"/>
    <numFmt numFmtId="171" formatCode="_(* #,##0_);_(* \(#,##0\);_(* &quot;-&quot;??_);_(@_)"/>
  </numFmts>
  <fonts count="22" x14ac:knownFonts="1">
    <font>
      <sz val="11"/>
      <color theme="1"/>
      <name val="Calibri"/>
      <family val="2"/>
      <scheme val="minor"/>
    </font>
    <font>
      <sz val="11"/>
      <color theme="1"/>
      <name val="Calibri"/>
      <family val="2"/>
      <scheme val="minor"/>
    </font>
    <font>
      <sz val="11"/>
      <color theme="1"/>
      <name val="Public Sans Light"/>
      <family val="2"/>
    </font>
    <font>
      <b/>
      <sz val="20"/>
      <color rgb="FF22272B"/>
      <name val="Public Sans Light"/>
      <family val="3"/>
    </font>
    <font>
      <b/>
      <sz val="12"/>
      <color rgb="FF22272B"/>
      <name val="Public Sans Light"/>
      <family val="3"/>
    </font>
    <font>
      <sz val="11"/>
      <color rgb="FFFFFFFF"/>
      <name val="Public Sans Light"/>
      <family val="2"/>
    </font>
    <font>
      <sz val="11"/>
      <color theme="1"/>
      <name val="Public Sans Light"/>
      <family val="3"/>
    </font>
    <font>
      <sz val="10"/>
      <color theme="1"/>
      <name val="Public Sans Light"/>
      <family val="3"/>
    </font>
    <font>
      <b/>
      <u/>
      <sz val="12"/>
      <color theme="1"/>
      <name val="Public Sans Light"/>
      <family val="3"/>
    </font>
    <font>
      <b/>
      <u/>
      <sz val="10"/>
      <color theme="1"/>
      <name val="Public Sans Light"/>
      <family val="3"/>
    </font>
    <font>
      <b/>
      <u/>
      <sz val="11"/>
      <color theme="1"/>
      <name val="Public Sans Light"/>
      <family val="3"/>
    </font>
    <font>
      <b/>
      <sz val="11"/>
      <color theme="1"/>
      <name val="Public Sans Light"/>
      <family val="3"/>
    </font>
    <font>
      <sz val="11"/>
      <color theme="0"/>
      <name val="Public Sans Light"/>
      <family val="3"/>
    </font>
    <font>
      <sz val="11"/>
      <name val="Public Sans Light"/>
      <family val="3"/>
    </font>
    <font>
      <b/>
      <i/>
      <sz val="11"/>
      <color theme="1"/>
      <name val="Public Sans Light"/>
      <family val="3"/>
    </font>
    <font>
      <b/>
      <i/>
      <sz val="10"/>
      <color theme="1"/>
      <name val="Public Sans Light"/>
      <family val="3"/>
    </font>
    <font>
      <b/>
      <u/>
      <sz val="14"/>
      <color theme="1"/>
      <name val="Public Sans Light"/>
      <family val="3"/>
    </font>
    <font>
      <sz val="11"/>
      <color rgb="FFFF0000"/>
      <name val="Public Sans Light"/>
      <family val="3"/>
    </font>
    <font>
      <b/>
      <sz val="11"/>
      <color rgb="FFFFFFFF"/>
      <name val="Public Sans Light"/>
      <family val="3"/>
    </font>
    <font>
      <b/>
      <vertAlign val="superscript"/>
      <sz val="11"/>
      <color rgb="FFFFFFFF"/>
      <name val="Public Sans Light"/>
      <family val="3"/>
    </font>
    <font>
      <sz val="11"/>
      <color rgb="FF000000"/>
      <name val="Public Sans Light"/>
      <family val="3"/>
    </font>
    <font>
      <b/>
      <sz val="11"/>
      <color rgb="FFFF0000"/>
      <name val="Public Sans Light"/>
      <family val="3"/>
    </font>
  </fonts>
  <fills count="12">
    <fill>
      <patternFill patternType="none"/>
    </fill>
    <fill>
      <patternFill patternType="gray125"/>
    </fill>
    <fill>
      <patternFill patternType="solid">
        <fgColor theme="0" tint="-0.14999847407452621"/>
        <bgColor indexed="64"/>
      </patternFill>
    </fill>
    <fill>
      <patternFill patternType="solid">
        <fgColor rgb="FF004D71"/>
        <bgColor indexed="64"/>
      </patternFill>
    </fill>
    <fill>
      <patternFill patternType="solid">
        <fgColor rgb="FFCBD0D5"/>
        <bgColor indexed="64"/>
      </patternFill>
    </fill>
    <fill>
      <patternFill patternType="solid">
        <fgColor rgb="FFE7E9EB"/>
        <bgColor indexed="64"/>
      </patternFill>
    </fill>
    <fill>
      <patternFill patternType="solid">
        <fgColor rgb="FFEDE6E3"/>
        <bgColor indexed="64"/>
      </patternFill>
    </fill>
    <fill>
      <patternFill patternType="solid">
        <fgColor rgb="FFF3F7F7"/>
        <bgColor indexed="64"/>
      </patternFill>
    </fill>
    <fill>
      <patternFill patternType="solid">
        <fgColor theme="0"/>
        <bgColor indexed="64"/>
      </patternFill>
    </fill>
    <fill>
      <patternFill patternType="solid">
        <fgColor theme="8" tint="0.79998168889431442"/>
        <bgColor indexed="64"/>
      </patternFill>
    </fill>
    <fill>
      <patternFill patternType="solid">
        <fgColor rgb="FF146CFD"/>
        <bgColor rgb="FF000000"/>
      </patternFill>
    </fill>
    <fill>
      <patternFill patternType="solid">
        <fgColor rgb="FF146CFD"/>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FFFFFF"/>
      </left>
      <right style="medium">
        <color rgb="FFFFFFFF"/>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0" fontId="2" fillId="0" borderId="19" xfId="0" applyFont="1" applyBorder="1"/>
    <xf numFmtId="0" fontId="3" fillId="0" borderId="19" xfId="0" applyFont="1" applyBorder="1"/>
    <xf numFmtId="49" fontId="4" fillId="0" borderId="19" xfId="0" applyNumberFormat="1" applyFont="1" applyBorder="1" applyAlignment="1">
      <alignment horizontal="left" vertical="center" wrapText="1"/>
    </xf>
    <xf numFmtId="49" fontId="2" fillId="0" borderId="19" xfId="0" applyNumberFormat="1" applyFont="1" applyBorder="1" applyAlignment="1">
      <alignment wrapText="1"/>
    </xf>
    <xf numFmtId="49" fontId="4" fillId="0" borderId="19" xfId="0" applyNumberFormat="1" applyFont="1" applyBorder="1" applyAlignment="1">
      <alignment wrapText="1"/>
    </xf>
    <xf numFmtId="0" fontId="2" fillId="0" borderId="22" xfId="0" applyFont="1" applyBorder="1" applyAlignment="1">
      <alignment wrapText="1"/>
    </xf>
    <xf numFmtId="0" fontId="2" fillId="0" borderId="19" xfId="0" applyFont="1" applyBorder="1" applyAlignment="1">
      <alignment wrapText="1"/>
    </xf>
    <xf numFmtId="0" fontId="2" fillId="0" borderId="20" xfId="0" applyFont="1" applyBorder="1"/>
    <xf numFmtId="0" fontId="5" fillId="10" borderId="1" xfId="0" applyFont="1" applyFill="1" applyBorder="1" applyAlignment="1">
      <alignment wrapText="1"/>
    </xf>
    <xf numFmtId="0" fontId="2" fillId="0" borderId="21" xfId="0" applyFont="1" applyBorder="1" applyAlignment="1">
      <alignment wrapText="1"/>
    </xf>
    <xf numFmtId="0" fontId="2" fillId="0" borderId="23" xfId="0" applyFont="1" applyBorder="1"/>
    <xf numFmtId="0" fontId="6" fillId="0" borderId="0" xfId="0" applyFont="1" applyAlignment="1" applyProtection="1">
      <alignment horizontal="center" vertical="center"/>
      <protection locked="0"/>
    </xf>
    <xf numFmtId="0" fontId="6" fillId="0" borderId="0" xfId="0" applyFont="1" applyAlignment="1">
      <alignment horizontal="center" vertical="center"/>
    </xf>
    <xf numFmtId="0" fontId="7" fillId="0" borderId="0" xfId="0" applyFont="1" applyAlignment="1">
      <alignment horizontal="center" vertical="center"/>
    </xf>
    <xf numFmtId="0" fontId="9" fillId="6" borderId="1" xfId="0" applyFont="1" applyFill="1" applyBorder="1" applyAlignment="1">
      <alignment horizontal="center" vertical="center"/>
    </xf>
    <xf numFmtId="0" fontId="8" fillId="6" borderId="1" xfId="0" applyFont="1" applyFill="1" applyBorder="1" applyAlignment="1">
      <alignment horizontal="center" vertical="center"/>
    </xf>
    <xf numFmtId="0" fontId="10" fillId="7" borderId="1" xfId="0" applyFont="1" applyFill="1" applyBorder="1" applyAlignment="1">
      <alignment horizontal="center" vertical="center"/>
    </xf>
    <xf numFmtId="0" fontId="10" fillId="7" borderId="1" xfId="0" applyFont="1" applyFill="1" applyBorder="1" applyAlignment="1" applyProtection="1">
      <alignment horizontal="center" vertical="center"/>
      <protection locked="0"/>
    </xf>
    <xf numFmtId="0" fontId="6" fillId="8" borderId="1" xfId="0" applyFont="1" applyFill="1" applyBorder="1" applyAlignment="1">
      <alignment horizontal="left" vertical="center" wrapText="1"/>
    </xf>
    <xf numFmtId="0" fontId="10" fillId="6" borderId="1" xfId="0" applyFont="1" applyFill="1" applyBorder="1" applyAlignment="1">
      <alignment vertical="center"/>
    </xf>
    <xf numFmtId="0" fontId="11" fillId="8" borderId="1" xfId="0" applyFont="1" applyFill="1" applyBorder="1" applyAlignment="1">
      <alignment horizontal="center" vertical="center"/>
    </xf>
    <xf numFmtId="0" fontId="6" fillId="8" borderId="1" xfId="0" applyFont="1" applyFill="1" applyBorder="1" applyAlignment="1">
      <alignment horizontal="center" vertical="center"/>
    </xf>
    <xf numFmtId="37" fontId="12" fillId="11" borderId="1" xfId="0" applyNumberFormat="1" applyFont="1" applyFill="1" applyBorder="1" applyAlignment="1" applyProtection="1">
      <alignment horizontal="center" vertical="center"/>
      <protection locked="0"/>
    </xf>
    <xf numFmtId="0" fontId="13" fillId="8" borderId="1" xfId="0"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12" fillId="11" borderId="1"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39" fontId="12" fillId="11" borderId="1" xfId="0" applyNumberFormat="1" applyFont="1" applyFill="1" applyBorder="1" applyAlignment="1" applyProtection="1">
      <alignment horizontal="center" vertical="center"/>
      <protection locked="0"/>
    </xf>
    <xf numFmtId="0" fontId="11" fillId="8" borderId="1" xfId="0" applyFont="1" applyFill="1" applyBorder="1" applyAlignment="1">
      <alignment horizontal="center" vertical="center" wrapText="1"/>
    </xf>
    <xf numFmtId="164" fontId="6" fillId="0" borderId="0" xfId="0" applyNumberFormat="1" applyFont="1" applyAlignment="1" applyProtection="1">
      <alignment horizontal="center" vertical="center"/>
      <protection locked="0"/>
    </xf>
    <xf numFmtId="170" fontId="12" fillId="11" borderId="1" xfId="0" applyNumberFormat="1" applyFont="1" applyFill="1" applyBorder="1" applyAlignment="1" applyProtection="1">
      <alignment horizontal="center" vertical="center"/>
      <protection locked="0"/>
    </xf>
    <xf numFmtId="0" fontId="10" fillId="6"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13" fillId="8" borderId="1" xfId="0" applyFont="1" applyFill="1" applyBorder="1" applyAlignment="1" applyProtection="1">
      <alignment horizontal="center" vertical="center" wrapText="1"/>
      <protection locked="0"/>
    </xf>
    <xf numFmtId="0" fontId="6" fillId="0" borderId="0" xfId="0" applyFont="1" applyAlignment="1">
      <alignment horizontal="center" vertical="center" wrapText="1"/>
    </xf>
    <xf numFmtId="0" fontId="10" fillId="6" borderId="1" xfId="0" applyFont="1" applyFill="1" applyBorder="1" applyAlignment="1">
      <alignment horizontal="center" vertical="center" wrapText="1"/>
    </xf>
    <xf numFmtId="9" fontId="12" fillId="11" borderId="12" xfId="2" applyFont="1" applyFill="1" applyBorder="1" applyAlignment="1" applyProtection="1">
      <alignment horizontal="center" vertical="center"/>
      <protection locked="0"/>
    </xf>
    <xf numFmtId="9" fontId="12" fillId="11" borderId="13" xfId="2" applyFont="1" applyFill="1" applyBorder="1" applyAlignment="1" applyProtection="1">
      <alignment horizontal="center" vertical="center"/>
      <protection locked="0"/>
    </xf>
    <xf numFmtId="0" fontId="14" fillId="0" borderId="0" xfId="0" applyFont="1" applyAlignment="1">
      <alignment horizontal="center" vertical="center"/>
    </xf>
    <xf numFmtId="0" fontId="15" fillId="0" borderId="0" xfId="0" applyFont="1" applyAlignment="1">
      <alignment horizontal="center" vertical="center"/>
    </xf>
    <xf numFmtId="0" fontId="14" fillId="7" borderId="1" xfId="0" applyFont="1" applyFill="1" applyBorder="1" applyAlignment="1">
      <alignment horizontal="center" vertical="center"/>
    </xf>
    <xf numFmtId="164" fontId="14" fillId="7" borderId="1" xfId="1" applyFont="1" applyFill="1" applyBorder="1" applyAlignment="1" applyProtection="1">
      <alignment horizontal="center" vertical="center"/>
    </xf>
    <xf numFmtId="0" fontId="14" fillId="8" borderId="1" xfId="0" applyFont="1" applyFill="1" applyBorder="1" applyAlignment="1" applyProtection="1">
      <alignment horizontal="center" vertical="center"/>
      <protection locked="0"/>
    </xf>
    <xf numFmtId="0" fontId="12" fillId="11" borderId="0" xfId="0" applyFont="1" applyFill="1" applyAlignment="1" applyProtection="1">
      <alignment horizontal="center" vertical="center"/>
      <protection locked="0"/>
    </xf>
    <xf numFmtId="164" fontId="14" fillId="7" borderId="1" xfId="0" applyNumberFormat="1" applyFont="1" applyFill="1" applyBorder="1" applyAlignment="1">
      <alignment horizontal="center" vertical="center"/>
    </xf>
    <xf numFmtId="0" fontId="7" fillId="0" borderId="0" xfId="0" applyFont="1" applyAlignment="1" applyProtection="1">
      <alignment horizontal="center" vertical="center"/>
      <protection locked="0"/>
    </xf>
    <xf numFmtId="0" fontId="11" fillId="0" borderId="1" xfId="0" applyFont="1" applyBorder="1" applyAlignment="1">
      <alignment horizontal="center" vertical="center"/>
    </xf>
    <xf numFmtId="165"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66" fontId="6" fillId="0" borderId="1" xfId="0" applyNumberFormat="1" applyFont="1" applyBorder="1" applyAlignment="1">
      <alignment horizontal="center" vertical="center"/>
    </xf>
    <xf numFmtId="0" fontId="8" fillId="2" borderId="1" xfId="0" applyFont="1" applyFill="1" applyBorder="1" applyAlignment="1">
      <alignment horizontal="center" vertical="center"/>
    </xf>
    <xf numFmtId="166" fontId="6" fillId="0" borderId="1" xfId="1" applyNumberFormat="1" applyFont="1" applyFill="1" applyBorder="1" applyAlignment="1" applyProtection="1">
      <alignment horizontal="center" vertical="center"/>
    </xf>
    <xf numFmtId="0" fontId="6" fillId="9" borderId="1" xfId="0" applyFont="1" applyFill="1" applyBorder="1" applyAlignment="1">
      <alignment horizontal="center" vertical="center"/>
    </xf>
    <xf numFmtId="167"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lignment horizontal="center" vertical="center"/>
    </xf>
    <xf numFmtId="166" fontId="6" fillId="0" borderId="5" xfId="0" applyNumberFormat="1" applyFont="1" applyBorder="1" applyAlignment="1">
      <alignment horizontal="center" vertical="center"/>
    </xf>
    <xf numFmtId="166" fontId="11" fillId="0" borderId="5" xfId="0" applyNumberFormat="1" applyFont="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165" fontId="6" fillId="0" borderId="0" xfId="0" applyNumberFormat="1" applyFont="1" applyAlignment="1">
      <alignment horizontal="center" vertical="center"/>
    </xf>
    <xf numFmtId="0" fontId="8" fillId="2" borderId="4" xfId="0" applyFont="1" applyFill="1" applyBorder="1" applyAlignment="1">
      <alignment vertical="center"/>
    </xf>
    <xf numFmtId="165" fontId="11" fillId="0" borderId="1" xfId="0" applyNumberFormat="1" applyFont="1" applyBorder="1" applyAlignment="1">
      <alignment horizontal="center" vertical="center"/>
    </xf>
    <xf numFmtId="169" fontId="6" fillId="0" borderId="1" xfId="0" applyNumberFormat="1" applyFont="1" applyBorder="1" applyAlignment="1">
      <alignment horizontal="center" vertical="center"/>
    </xf>
    <xf numFmtId="168" fontId="6" fillId="0" borderId="1" xfId="2" applyNumberFormat="1" applyFont="1" applyBorder="1" applyAlignment="1" applyProtection="1">
      <alignment horizontal="center" vertical="center"/>
    </xf>
    <xf numFmtId="0" fontId="6" fillId="0" borderId="4" xfId="0" applyFont="1" applyBorder="1" applyAlignment="1">
      <alignment horizontal="center" vertical="center"/>
    </xf>
    <xf numFmtId="166" fontId="10" fillId="2" borderId="1" xfId="0" applyNumberFormat="1" applyFont="1" applyFill="1" applyBorder="1" applyAlignment="1">
      <alignment horizontal="center" vertical="center"/>
    </xf>
    <xf numFmtId="166" fontId="6" fillId="0" borderId="0" xfId="0" applyNumberFormat="1" applyFont="1" applyAlignment="1">
      <alignment horizontal="center" vertical="center"/>
    </xf>
    <xf numFmtId="0" fontId="6" fillId="0" borderId="0" xfId="0" applyFont="1" applyAlignment="1">
      <alignment horizontal="right" vertical="center"/>
    </xf>
    <xf numFmtId="166" fontId="11" fillId="0" borderId="0" xfId="0" applyNumberFormat="1" applyFont="1" applyAlignment="1">
      <alignment horizontal="center" vertical="center"/>
    </xf>
    <xf numFmtId="165" fontId="14" fillId="0" borderId="0" xfId="0" applyNumberFormat="1" applyFont="1" applyAlignment="1">
      <alignment horizontal="right" vertical="center"/>
    </xf>
    <xf numFmtId="166" fontId="14" fillId="0" borderId="0" xfId="0" applyNumberFormat="1" applyFont="1" applyAlignment="1">
      <alignment horizontal="center" vertical="center"/>
    </xf>
    <xf numFmtId="0" fontId="18" fillId="3" borderId="6" xfId="0" applyFont="1" applyFill="1" applyBorder="1" applyAlignment="1">
      <alignment horizontal="left" vertical="center" wrapText="1" indent="1"/>
    </xf>
    <xf numFmtId="0" fontId="18" fillId="3" borderId="7" xfId="0" applyFont="1" applyFill="1" applyBorder="1" applyAlignment="1">
      <alignment horizontal="left" vertical="center" wrapText="1" indent="1"/>
    </xf>
    <xf numFmtId="166" fontId="6" fillId="8" borderId="1" xfId="0" applyNumberFormat="1" applyFont="1" applyFill="1" applyBorder="1" applyAlignment="1">
      <alignment horizontal="center" vertical="center"/>
    </xf>
    <xf numFmtId="166" fontId="6" fillId="9" borderId="1" xfId="0" applyNumberFormat="1" applyFont="1" applyFill="1" applyBorder="1" applyAlignment="1">
      <alignment horizontal="center" vertical="center"/>
    </xf>
    <xf numFmtId="0" fontId="20" fillId="4" borderId="8" xfId="0" applyFont="1" applyFill="1" applyBorder="1" applyAlignment="1">
      <alignment vertical="center" wrapText="1"/>
    </xf>
    <xf numFmtId="9" fontId="20" fillId="4" borderId="9" xfId="0" applyNumberFormat="1" applyFont="1" applyFill="1" applyBorder="1" applyAlignment="1">
      <alignment vertical="center" wrapText="1"/>
    </xf>
    <xf numFmtId="10" fontId="20" fillId="4" borderId="9" xfId="0" applyNumberFormat="1" applyFont="1" applyFill="1" applyBorder="1" applyAlignment="1">
      <alignment vertical="center" wrapText="1"/>
    </xf>
    <xf numFmtId="0" fontId="20" fillId="5" borderId="8" xfId="0" applyFont="1" applyFill="1" applyBorder="1" applyAlignment="1">
      <alignment vertical="center" wrapText="1"/>
    </xf>
    <xf numFmtId="9" fontId="20" fillId="5" borderId="9" xfId="0" applyNumberFormat="1" applyFont="1" applyFill="1" applyBorder="1" applyAlignment="1">
      <alignment vertical="center" wrapText="1"/>
    </xf>
    <xf numFmtId="10" fontId="20" fillId="5" borderId="9" xfId="0" applyNumberFormat="1" applyFont="1" applyFill="1" applyBorder="1" applyAlignment="1">
      <alignment vertical="center" wrapText="1"/>
    </xf>
    <xf numFmtId="0" fontId="20" fillId="5" borderId="9" xfId="0" applyFont="1" applyFill="1" applyBorder="1" applyAlignment="1">
      <alignment vertical="center" wrapText="1"/>
    </xf>
    <xf numFmtId="0" fontId="20" fillId="4" borderId="9" xfId="0" applyFont="1" applyFill="1" applyBorder="1" applyAlignment="1">
      <alignment vertical="center" wrapText="1"/>
    </xf>
    <xf numFmtId="0" fontId="6" fillId="0" borderId="0" xfId="0" applyFont="1" applyAlignment="1">
      <alignment vertical="center"/>
    </xf>
    <xf numFmtId="0" fontId="7" fillId="4" borderId="9" xfId="0" applyFont="1" applyFill="1" applyBorder="1" applyAlignment="1">
      <alignment vertical="center" wrapText="1"/>
    </xf>
    <xf numFmtId="165" fontId="14" fillId="0" borderId="0" xfId="0" applyNumberFormat="1" applyFont="1" applyAlignment="1">
      <alignment horizontal="center" vertical="center"/>
    </xf>
    <xf numFmtId="0" fontId="10" fillId="0" borderId="1" xfId="0" applyFont="1" applyBorder="1" applyAlignment="1">
      <alignment horizontal="center" vertical="center"/>
    </xf>
    <xf numFmtId="165" fontId="10" fillId="0" borderId="1" xfId="0" applyNumberFormat="1" applyFont="1" applyBorder="1" applyAlignment="1">
      <alignment horizontal="center" vertical="center"/>
    </xf>
    <xf numFmtId="165" fontId="12" fillId="11" borderId="1" xfId="0" applyNumberFormat="1" applyFont="1" applyFill="1" applyBorder="1" applyAlignment="1" applyProtection="1">
      <alignment horizontal="center" vertical="center"/>
      <protection locked="0"/>
    </xf>
    <xf numFmtId="165" fontId="6" fillId="0" borderId="1" xfId="0" applyNumberFormat="1" applyFont="1" applyBorder="1" applyAlignment="1">
      <alignment horizontal="center" vertical="center"/>
    </xf>
    <xf numFmtId="0" fontId="14" fillId="0" borderId="1" xfId="0" applyFont="1" applyBorder="1" applyAlignment="1">
      <alignment horizontal="center" vertical="center"/>
    </xf>
    <xf numFmtId="165" fontId="14" fillId="0" borderId="1" xfId="0" applyNumberFormat="1" applyFont="1" applyBorder="1" applyAlignment="1">
      <alignment horizontal="center" vertical="center"/>
    </xf>
    <xf numFmtId="0" fontId="6" fillId="2" borderId="1" xfId="0" applyFont="1" applyFill="1" applyBorder="1" applyAlignment="1">
      <alignment horizontal="center" vertical="center"/>
    </xf>
    <xf numFmtId="165" fontId="6" fillId="2" borderId="1" xfId="0" applyNumberFormat="1" applyFont="1" applyFill="1" applyBorder="1" applyAlignment="1">
      <alignment horizontal="center" vertical="center"/>
    </xf>
    <xf numFmtId="0" fontId="12" fillId="11" borderId="1" xfId="1" applyNumberFormat="1" applyFont="1" applyFill="1" applyBorder="1" applyAlignment="1" applyProtection="1">
      <alignment horizontal="center" vertical="center"/>
      <protection locked="0"/>
    </xf>
    <xf numFmtId="37" fontId="6" fillId="0" borderId="1" xfId="0" applyNumberFormat="1" applyFont="1" applyBorder="1" applyAlignment="1">
      <alignment horizontal="center" vertical="center"/>
    </xf>
    <xf numFmtId="164" fontId="6" fillId="0" borderId="0" xfId="1" applyFont="1" applyAlignment="1">
      <alignment horizontal="center" vertical="center"/>
    </xf>
    <xf numFmtId="10" fontId="6" fillId="0" borderId="0" xfId="2" applyNumberFormat="1" applyFont="1" applyAlignment="1">
      <alignment horizontal="center" vertical="center"/>
    </xf>
    <xf numFmtId="2" fontId="6" fillId="0" borderId="1" xfId="0" applyNumberFormat="1" applyFont="1" applyBorder="1" applyAlignment="1">
      <alignment horizontal="center" vertical="center"/>
    </xf>
    <xf numFmtId="165" fontId="6" fillId="9" borderId="1" xfId="0" applyNumberFormat="1" applyFont="1" applyFill="1" applyBorder="1" applyAlignment="1">
      <alignment horizontal="center" vertical="center"/>
    </xf>
    <xf numFmtId="171" fontId="6" fillId="0" borderId="1" xfId="0" applyNumberFormat="1" applyFont="1" applyBorder="1" applyAlignment="1">
      <alignment horizontal="center" vertical="center"/>
    </xf>
    <xf numFmtId="0" fontId="14" fillId="9" borderId="1" xfId="0" applyFont="1" applyFill="1" applyBorder="1" applyAlignment="1">
      <alignment horizontal="center" vertical="center"/>
    </xf>
    <xf numFmtId="37" fontId="6" fillId="0" borderId="1" xfId="1" applyNumberFormat="1" applyFont="1" applyBorder="1" applyAlignment="1">
      <alignment horizontal="center" vertical="center"/>
    </xf>
    <xf numFmtId="0" fontId="14" fillId="0" borderId="1" xfId="0" applyFont="1" applyBorder="1" applyAlignment="1">
      <alignment horizontal="left" vertical="center"/>
    </xf>
    <xf numFmtId="9" fontId="12" fillId="11" borderId="9" xfId="0" applyNumberFormat="1" applyFont="1" applyFill="1" applyBorder="1" applyAlignment="1">
      <alignment vertical="center" wrapText="1"/>
    </xf>
    <xf numFmtId="0" fontId="12" fillId="11" borderId="9" xfId="0" applyFont="1" applyFill="1" applyBorder="1" applyAlignment="1">
      <alignment vertical="center" wrapText="1"/>
    </xf>
    <xf numFmtId="164" fontId="12" fillId="11" borderId="9" xfId="1" applyFont="1" applyFill="1" applyBorder="1" applyAlignment="1" applyProtection="1">
      <alignment vertical="center" wrapText="1"/>
    </xf>
    <xf numFmtId="49" fontId="2" fillId="0" borderId="20" xfId="0" applyNumberFormat="1" applyFont="1" applyBorder="1" applyAlignment="1">
      <alignment horizontal="left" wrapText="1"/>
    </xf>
    <xf numFmtId="49" fontId="2" fillId="0" borderId="21" xfId="0" applyNumberFormat="1" applyFont="1" applyBorder="1" applyAlignment="1">
      <alignment horizontal="left" wrapText="1"/>
    </xf>
    <xf numFmtId="0" fontId="8" fillId="6" borderId="1" xfId="0" applyFont="1" applyFill="1" applyBorder="1" applyAlignment="1">
      <alignment horizontal="center" vertical="center"/>
    </xf>
    <xf numFmtId="0" fontId="10" fillId="6" borderId="1" xfId="0" applyFont="1" applyFill="1" applyBorder="1" applyAlignment="1">
      <alignment horizontal="center" vertical="center" wrapText="1"/>
    </xf>
    <xf numFmtId="0" fontId="10" fillId="6" borderId="1"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7" xfId="0" applyFont="1" applyFill="1" applyBorder="1" applyAlignment="1">
      <alignment horizontal="center" vertical="center"/>
    </xf>
    <xf numFmtId="0" fontId="11" fillId="8" borderId="10"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0" fillId="6" borderId="10" xfId="0" applyFont="1" applyFill="1" applyBorder="1" applyAlignment="1">
      <alignment horizontal="center" vertical="center"/>
    </xf>
    <xf numFmtId="0" fontId="10" fillId="6" borderId="11" xfId="0" applyFont="1" applyFill="1" applyBorder="1" applyAlignment="1">
      <alignment horizontal="center" vertical="center"/>
    </xf>
    <xf numFmtId="0" fontId="10" fillId="6" borderId="5"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4"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15" xfId="0" applyFont="1" applyFill="1" applyBorder="1" applyAlignment="1">
      <alignment horizontal="center" vertical="center"/>
    </xf>
    <xf numFmtId="0" fontId="16"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6" fillId="0" borderId="1" xfId="0" applyFont="1" applyBorder="1" applyAlignment="1">
      <alignment horizontal="center" vertical="center"/>
    </xf>
    <xf numFmtId="0" fontId="10" fillId="0" borderId="5" xfId="0" applyFont="1" applyBorder="1" applyAlignment="1">
      <alignment horizontal="center" vertical="center"/>
    </xf>
    <xf numFmtId="0" fontId="6" fillId="9" borderId="18" xfId="0" applyFont="1" applyFill="1" applyBorder="1" applyAlignment="1">
      <alignment horizontal="left" vertical="top" wrapText="1"/>
    </xf>
    <xf numFmtId="0" fontId="6" fillId="9" borderId="0" xfId="0" applyFont="1" applyFill="1" applyAlignment="1">
      <alignment horizontal="left" vertical="top"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146CFD"/>
      <color rgb="FF425DFC"/>
      <color rgb="FFF3F7F7"/>
      <color rgb="FFEAF0F0"/>
      <color rgb="FFEDE6E3"/>
      <color rgb="FF2140FB"/>
      <color rgb="FFEDE9E3"/>
      <color rgb="FFE2DB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571500</xdr:colOff>
      <xdr:row>1</xdr:row>
      <xdr:rowOff>0</xdr:rowOff>
    </xdr:from>
    <xdr:to>
      <xdr:col>3</xdr:col>
      <xdr:colOff>352425</xdr:colOff>
      <xdr:row>15</xdr:row>
      <xdr:rowOff>114300</xdr:rowOff>
    </xdr:to>
    <xdr:sp macro="" textlink="">
      <xdr:nvSpPr>
        <xdr:cNvPr id="2" name="Rectangle 1">
          <a:extLst>
            <a:ext uri="{FF2B5EF4-FFF2-40B4-BE49-F238E27FC236}">
              <a16:creationId xmlns:a16="http://schemas.microsoft.com/office/drawing/2014/main" id="{A7510E7F-D5AE-4923-A4CF-673DA0E3E05D}"/>
            </a:ext>
          </a:extLst>
        </xdr:cNvPr>
        <xdr:cNvSpPr/>
      </xdr:nvSpPr>
      <xdr:spPr>
        <a:xfrm>
          <a:off x="571500" y="180975"/>
          <a:ext cx="2120900" cy="2647950"/>
        </a:xfrm>
        <a:prstGeom prst="rect">
          <a:avLst/>
        </a:prstGeom>
        <a:noFill/>
        <a:ln w="12700" cap="flat" cmpd="sng" algn="ctr">
          <a:solidFill>
            <a:srgbClr val="00266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srgbClr val="FFFFFF"/>
            </a:solidFill>
            <a:effectLst/>
            <a:uLnTx/>
            <a:uFillTx/>
            <a:latin typeface="Public Sans Ligh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1488017</xdr:colOff>
      <xdr:row>2</xdr:row>
      <xdr:rowOff>19050</xdr:rowOff>
    </xdr:from>
    <xdr:to>
      <xdr:col>7</xdr:col>
      <xdr:colOff>1811867</xdr:colOff>
      <xdr:row>2</xdr:row>
      <xdr:rowOff>180975</xdr:rowOff>
    </xdr:to>
    <xdr:sp macro="" textlink="">
      <xdr:nvSpPr>
        <xdr:cNvPr id="2" name="Rectangle 1">
          <a:extLst>
            <a:ext uri="{FF2B5EF4-FFF2-40B4-BE49-F238E27FC236}">
              <a16:creationId xmlns:a16="http://schemas.microsoft.com/office/drawing/2014/main" id="{28CB73EC-3B62-E073-347D-112C397B797B}"/>
            </a:ext>
          </a:extLst>
        </xdr:cNvPr>
        <xdr:cNvSpPr/>
      </xdr:nvSpPr>
      <xdr:spPr>
        <a:xfrm>
          <a:off x="16918517" y="781050"/>
          <a:ext cx="323850" cy="161925"/>
        </a:xfrm>
        <a:prstGeom prst="rect">
          <a:avLst/>
        </a:prstGeom>
        <a:solidFill>
          <a:srgbClr val="146CFD"/>
        </a:solidFill>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5479E-ABF6-435F-82DF-A29B8409C685}">
  <dimension ref="A3:C14"/>
  <sheetViews>
    <sheetView tabSelected="1" workbookViewId="0">
      <selection activeCell="B5" sqref="B5"/>
    </sheetView>
  </sheetViews>
  <sheetFormatPr defaultColWidth="11.140625" defaultRowHeight="18" x14ac:dyDescent="0.35"/>
  <cols>
    <col min="1" max="1" width="11.140625" style="1"/>
    <col min="2" max="2" width="30.85546875" style="1" customWidth="1"/>
    <col min="3" max="3" width="51.140625" style="1" customWidth="1"/>
    <col min="4" max="16384" width="11.140625" style="1"/>
  </cols>
  <sheetData>
    <row r="3" spans="1:3" ht="32.25" x14ac:dyDescent="0.6">
      <c r="B3" s="2" t="s">
        <v>365</v>
      </c>
    </row>
    <row r="5" spans="1:3" ht="30.6" customHeight="1" x14ac:dyDescent="0.35">
      <c r="B5" s="3" t="s">
        <v>366</v>
      </c>
      <c r="C5" s="4"/>
    </row>
    <row r="6" spans="1:3" ht="34.5" customHeight="1" x14ac:dyDescent="0.35">
      <c r="B6" s="109" t="s">
        <v>367</v>
      </c>
      <c r="C6" s="110"/>
    </row>
    <row r="7" spans="1:3" ht="125.1" customHeight="1" x14ac:dyDescent="0.35">
      <c r="B7" s="109" t="s">
        <v>368</v>
      </c>
      <c r="C7" s="110"/>
    </row>
    <row r="8" spans="1:3" ht="47.1" customHeight="1" x14ac:dyDescent="0.35">
      <c r="B8" s="109" t="s">
        <v>369</v>
      </c>
      <c r="C8" s="110"/>
    </row>
    <row r="9" spans="1:3" ht="45.95" customHeight="1" x14ac:dyDescent="0.35">
      <c r="B9" s="109" t="s">
        <v>370</v>
      </c>
      <c r="C9" s="110"/>
    </row>
    <row r="10" spans="1:3" ht="44.45" customHeight="1" x14ac:dyDescent="0.35">
      <c r="B10" s="5" t="s">
        <v>371</v>
      </c>
      <c r="C10" s="4"/>
    </row>
    <row r="11" spans="1:3" ht="102" customHeight="1" x14ac:dyDescent="0.35">
      <c r="B11" s="109" t="s">
        <v>372</v>
      </c>
      <c r="C11" s="110"/>
    </row>
    <row r="12" spans="1:3" x14ac:dyDescent="0.35">
      <c r="B12" s="6"/>
      <c r="C12" s="7"/>
    </row>
    <row r="13" spans="1:3" ht="36" x14ac:dyDescent="0.35">
      <c r="A13" s="8"/>
      <c r="B13" s="9" t="s">
        <v>373</v>
      </c>
      <c r="C13" s="10"/>
    </row>
    <row r="14" spans="1:3" x14ac:dyDescent="0.35">
      <c r="B14" s="11"/>
    </row>
  </sheetData>
  <sheetProtection algorithmName="SHA-512" hashValue="NSWvogI30djIyLj/e474Dywl/GXe9xKLXroXpScxxfYcaa8uovveEMhO8IXBfb+bjrzV6fvXEF3YA3RLmXhNNw==" saltValue="Q1vLYyzhDqzKraIZr3K+Tg==" spinCount="100000" sheet="1" objects="1" scenarios="1"/>
  <mergeCells count="5">
    <mergeCell ref="B6:C6"/>
    <mergeCell ref="B7:C7"/>
    <mergeCell ref="B8:C8"/>
    <mergeCell ref="B9:C9"/>
    <mergeCell ref="B11:C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82E18-7FC6-48EC-B618-BDAC8D46F708}">
  <dimension ref="B1:M57"/>
  <sheetViews>
    <sheetView showGridLines="0" zoomScaleNormal="100" workbookViewId="0">
      <selection activeCell="K61" sqref="K61"/>
    </sheetView>
  </sheetViews>
  <sheetFormatPr defaultColWidth="8.85546875" defaultRowHeight="33" customHeight="1" x14ac:dyDescent="0.25"/>
  <cols>
    <col min="1" max="1" width="8.85546875" style="12"/>
    <col min="2" max="2" width="15.42578125" style="12" customWidth="1"/>
    <col min="3" max="3" width="63.5703125" style="12" customWidth="1"/>
    <col min="4" max="4" width="17.85546875" style="12" customWidth="1"/>
    <col min="5" max="5" width="19.5703125" style="12" customWidth="1"/>
    <col min="6" max="6" width="91.85546875" style="12" customWidth="1"/>
    <col min="7" max="7" width="3.7109375" style="12" customWidth="1"/>
    <col min="8" max="8" width="96.140625" style="46" customWidth="1"/>
    <col min="9" max="9" width="5.5703125" style="13" customWidth="1"/>
    <col min="10" max="10" width="33.28515625" style="12" customWidth="1"/>
    <col min="11" max="11" width="18.5703125" style="12" customWidth="1"/>
    <col min="12" max="12" width="3.42578125" style="12" customWidth="1"/>
    <col min="13" max="13" width="94.85546875" style="12" customWidth="1"/>
    <col min="14" max="16384" width="8.85546875" style="12"/>
  </cols>
  <sheetData>
    <row r="1" spans="2:13" ht="33" customHeight="1" x14ac:dyDescent="0.25">
      <c r="G1" s="13"/>
      <c r="H1" s="14"/>
    </row>
    <row r="2" spans="2:13" ht="33" customHeight="1" x14ac:dyDescent="0.25">
      <c r="B2" s="111" t="s">
        <v>13</v>
      </c>
      <c r="C2" s="111"/>
      <c r="D2" s="111"/>
      <c r="E2" s="111"/>
      <c r="F2" s="111"/>
      <c r="G2" s="13"/>
      <c r="H2" s="15" t="s">
        <v>301</v>
      </c>
      <c r="J2" s="121" t="s">
        <v>232</v>
      </c>
      <c r="K2" s="122"/>
      <c r="M2" s="16" t="s">
        <v>301</v>
      </c>
    </row>
    <row r="3" spans="2:13" ht="33" customHeight="1" x14ac:dyDescent="0.25">
      <c r="B3" s="17" t="s">
        <v>259</v>
      </c>
      <c r="C3" s="17" t="s">
        <v>0</v>
      </c>
      <c r="D3" s="17" t="s">
        <v>1</v>
      </c>
      <c r="E3" s="18" t="s">
        <v>2</v>
      </c>
      <c r="F3" s="18" t="s">
        <v>3</v>
      </c>
      <c r="G3" s="13"/>
      <c r="H3" s="19" t="s">
        <v>278</v>
      </c>
      <c r="J3" s="17" t="s">
        <v>0</v>
      </c>
      <c r="K3" s="17" t="s">
        <v>233</v>
      </c>
      <c r="M3" s="19" t="s">
        <v>323</v>
      </c>
    </row>
    <row r="4" spans="2:13" ht="33" customHeight="1" x14ac:dyDescent="0.25">
      <c r="B4" s="20"/>
      <c r="C4" s="21" t="s">
        <v>268</v>
      </c>
      <c r="D4" s="22" t="s">
        <v>269</v>
      </c>
      <c r="E4" s="23">
        <v>270</v>
      </c>
      <c r="F4" s="24" t="s">
        <v>270</v>
      </c>
      <c r="G4" s="13"/>
      <c r="H4" s="19" t="s">
        <v>280</v>
      </c>
      <c r="J4" s="25" t="s">
        <v>234</v>
      </c>
      <c r="K4" s="26" t="s">
        <v>165</v>
      </c>
      <c r="L4" s="27">
        <f>IF(K4="yes",1,0)</f>
        <v>1</v>
      </c>
      <c r="M4" s="19" t="s">
        <v>324</v>
      </c>
    </row>
    <row r="5" spans="2:13" ht="33" customHeight="1" x14ac:dyDescent="0.25">
      <c r="B5" s="118" t="s">
        <v>260</v>
      </c>
      <c r="C5" s="21" t="s">
        <v>255</v>
      </c>
      <c r="D5" s="22" t="s">
        <v>4</v>
      </c>
      <c r="E5" s="23">
        <v>75</v>
      </c>
      <c r="F5" s="24"/>
      <c r="G5" s="13"/>
      <c r="H5" s="19" t="s">
        <v>279</v>
      </c>
      <c r="J5" s="25" t="s">
        <v>249</v>
      </c>
      <c r="K5" s="26" t="s">
        <v>165</v>
      </c>
      <c r="L5" s="27">
        <f t="shared" ref="L5:L14" si="0">IF(K5="yes",1,0)</f>
        <v>1</v>
      </c>
      <c r="M5" s="19" t="s">
        <v>325</v>
      </c>
    </row>
    <row r="6" spans="2:13" ht="33" customHeight="1" x14ac:dyDescent="0.25">
      <c r="B6" s="119"/>
      <c r="C6" s="21" t="s">
        <v>290</v>
      </c>
      <c r="D6" s="22" t="s">
        <v>5</v>
      </c>
      <c r="E6" s="23">
        <v>137</v>
      </c>
      <c r="F6" s="24" t="s">
        <v>6</v>
      </c>
      <c r="G6" s="13"/>
      <c r="H6" s="19" t="s">
        <v>281</v>
      </c>
      <c r="J6" s="25" t="s">
        <v>248</v>
      </c>
      <c r="K6" s="26" t="s">
        <v>165</v>
      </c>
      <c r="L6" s="27">
        <f t="shared" si="0"/>
        <v>1</v>
      </c>
      <c r="M6" s="19" t="s">
        <v>326</v>
      </c>
    </row>
    <row r="7" spans="2:13" ht="33" customHeight="1" x14ac:dyDescent="0.25">
      <c r="B7" s="119"/>
      <c r="C7" s="21" t="s">
        <v>291</v>
      </c>
      <c r="D7" s="22" t="s">
        <v>8</v>
      </c>
      <c r="E7" s="23">
        <v>810</v>
      </c>
      <c r="F7" s="24"/>
      <c r="G7" s="13"/>
      <c r="H7" s="19" t="s">
        <v>282</v>
      </c>
      <c r="J7" s="25" t="s">
        <v>235</v>
      </c>
      <c r="K7" s="26" t="s">
        <v>165</v>
      </c>
      <c r="L7" s="27">
        <f t="shared" si="0"/>
        <v>1</v>
      </c>
      <c r="M7" s="19" t="s">
        <v>327</v>
      </c>
    </row>
    <row r="8" spans="2:13" ht="33" customHeight="1" x14ac:dyDescent="0.25">
      <c r="B8" s="119"/>
      <c r="C8" s="21" t="s">
        <v>256</v>
      </c>
      <c r="D8" s="22" t="s">
        <v>257</v>
      </c>
      <c r="E8" s="28">
        <v>3.6</v>
      </c>
      <c r="F8" s="24"/>
      <c r="G8" s="13"/>
      <c r="H8" s="19" t="s">
        <v>283</v>
      </c>
      <c r="J8" s="25" t="s">
        <v>236</v>
      </c>
      <c r="K8" s="26" t="s">
        <v>165</v>
      </c>
      <c r="L8" s="27">
        <f t="shared" si="0"/>
        <v>1</v>
      </c>
      <c r="M8" s="19" t="s">
        <v>327</v>
      </c>
    </row>
    <row r="9" spans="2:13" ht="33" customHeight="1" x14ac:dyDescent="0.25">
      <c r="B9" s="119"/>
      <c r="C9" s="21" t="s">
        <v>258</v>
      </c>
      <c r="D9" s="22" t="s">
        <v>289</v>
      </c>
      <c r="E9" s="23">
        <v>56</v>
      </c>
      <c r="F9" s="24" t="s">
        <v>9</v>
      </c>
      <c r="G9" s="13"/>
      <c r="H9" s="19" t="s">
        <v>309</v>
      </c>
      <c r="J9" s="25" t="s">
        <v>237</v>
      </c>
      <c r="K9" s="26" t="s">
        <v>165</v>
      </c>
      <c r="L9" s="27">
        <f t="shared" si="0"/>
        <v>1</v>
      </c>
      <c r="M9" s="19" t="s">
        <v>327</v>
      </c>
    </row>
    <row r="10" spans="2:13" ht="33" customHeight="1" x14ac:dyDescent="0.25">
      <c r="B10" s="119"/>
      <c r="C10" s="21" t="s">
        <v>230</v>
      </c>
      <c r="D10" s="22" t="s">
        <v>289</v>
      </c>
      <c r="E10" s="23">
        <v>26</v>
      </c>
      <c r="F10" s="24"/>
      <c r="G10" s="13"/>
      <c r="H10" s="19" t="s">
        <v>284</v>
      </c>
      <c r="J10" s="25" t="s">
        <v>238</v>
      </c>
      <c r="K10" s="26" t="s">
        <v>165</v>
      </c>
      <c r="L10" s="27">
        <f t="shared" si="0"/>
        <v>1</v>
      </c>
      <c r="M10" s="19" t="s">
        <v>327</v>
      </c>
    </row>
    <row r="11" spans="2:13" ht="33" customHeight="1" x14ac:dyDescent="0.25">
      <c r="B11" s="119"/>
      <c r="C11" s="29" t="s">
        <v>171</v>
      </c>
      <c r="D11" s="22" t="s">
        <v>96</v>
      </c>
      <c r="E11" s="23">
        <v>20</v>
      </c>
      <c r="F11" s="24"/>
      <c r="G11" s="13"/>
      <c r="H11" s="19" t="s">
        <v>285</v>
      </c>
      <c r="J11" s="25" t="s">
        <v>239</v>
      </c>
      <c r="K11" s="26" t="s">
        <v>165</v>
      </c>
      <c r="L11" s="27">
        <f t="shared" si="0"/>
        <v>1</v>
      </c>
      <c r="M11" s="19" t="s">
        <v>327</v>
      </c>
    </row>
    <row r="12" spans="2:13" ht="33" customHeight="1" x14ac:dyDescent="0.25">
      <c r="B12" s="119"/>
      <c r="C12" s="29" t="s">
        <v>127</v>
      </c>
      <c r="D12" s="22" t="s">
        <v>5</v>
      </c>
      <c r="E12" s="23">
        <v>2.5</v>
      </c>
      <c r="F12" s="24" t="s">
        <v>126</v>
      </c>
      <c r="G12" s="13"/>
      <c r="H12" s="19" t="s">
        <v>286</v>
      </c>
      <c r="J12" s="25" t="s">
        <v>240</v>
      </c>
      <c r="K12" s="26" t="s">
        <v>165</v>
      </c>
      <c r="L12" s="27">
        <f t="shared" si="0"/>
        <v>1</v>
      </c>
      <c r="M12" s="19" t="s">
        <v>327</v>
      </c>
    </row>
    <row r="13" spans="2:13" ht="33" customHeight="1" x14ac:dyDescent="0.25">
      <c r="B13" s="119"/>
      <c r="C13" s="29" t="s">
        <v>227</v>
      </c>
      <c r="D13" s="22" t="s">
        <v>5</v>
      </c>
      <c r="E13" s="23">
        <v>1</v>
      </c>
      <c r="F13" s="24"/>
      <c r="G13" s="13"/>
      <c r="H13" s="19" t="s">
        <v>287</v>
      </c>
      <c r="J13" s="25" t="s">
        <v>241</v>
      </c>
      <c r="K13" s="26" t="s">
        <v>165</v>
      </c>
      <c r="L13" s="27">
        <f t="shared" si="0"/>
        <v>1</v>
      </c>
      <c r="M13" s="19" t="s">
        <v>327</v>
      </c>
    </row>
    <row r="14" spans="2:13" ht="33" customHeight="1" x14ac:dyDescent="0.25">
      <c r="B14" s="120"/>
      <c r="C14" s="21" t="s">
        <v>231</v>
      </c>
      <c r="D14" s="22" t="s">
        <v>288</v>
      </c>
      <c r="E14" s="23">
        <f>12000*3.8</f>
        <v>45600</v>
      </c>
      <c r="F14" s="24" t="s">
        <v>274</v>
      </c>
      <c r="G14" s="13"/>
      <c r="H14" s="19" t="s">
        <v>292</v>
      </c>
      <c r="J14" s="25" t="s">
        <v>250</v>
      </c>
      <c r="K14" s="26" t="s">
        <v>165</v>
      </c>
      <c r="L14" s="27">
        <f t="shared" si="0"/>
        <v>1</v>
      </c>
      <c r="M14" s="19" t="s">
        <v>327</v>
      </c>
    </row>
    <row r="15" spans="2:13" ht="33" customHeight="1" x14ac:dyDescent="0.25">
      <c r="B15" s="113" t="s">
        <v>261</v>
      </c>
      <c r="C15" s="21" t="s">
        <v>293</v>
      </c>
      <c r="D15" s="22" t="s">
        <v>4</v>
      </c>
      <c r="E15" s="23">
        <v>3</v>
      </c>
      <c r="F15" s="24" t="s">
        <v>244</v>
      </c>
      <c r="G15" s="13"/>
      <c r="H15" s="19" t="s">
        <v>294</v>
      </c>
      <c r="K15" s="30"/>
    </row>
    <row r="16" spans="2:13" ht="33" customHeight="1" x14ac:dyDescent="0.25">
      <c r="B16" s="113"/>
      <c r="C16" s="21" t="s">
        <v>226</v>
      </c>
      <c r="D16" s="22" t="s">
        <v>4</v>
      </c>
      <c r="E16" s="23">
        <v>6</v>
      </c>
      <c r="F16" s="24" t="s">
        <v>308</v>
      </c>
      <c r="G16" s="13"/>
      <c r="H16" s="19" t="s">
        <v>295</v>
      </c>
      <c r="K16" s="30"/>
    </row>
    <row r="17" spans="2:11" ht="33" customHeight="1" x14ac:dyDescent="0.25">
      <c r="B17" s="113"/>
      <c r="C17" s="21" t="s">
        <v>275</v>
      </c>
      <c r="D17" s="22" t="s">
        <v>247</v>
      </c>
      <c r="E17" s="31">
        <v>2.298</v>
      </c>
      <c r="F17" s="24"/>
      <c r="G17" s="13"/>
      <c r="H17" s="19" t="s">
        <v>296</v>
      </c>
      <c r="K17" s="30"/>
    </row>
    <row r="18" spans="2:11" ht="33" customHeight="1" x14ac:dyDescent="0.25">
      <c r="B18" s="113"/>
      <c r="C18" s="29" t="s">
        <v>298</v>
      </c>
      <c r="D18" s="22" t="s">
        <v>5</v>
      </c>
      <c r="E18" s="23">
        <v>250</v>
      </c>
      <c r="F18" s="24"/>
      <c r="G18" s="13"/>
      <c r="H18" s="19" t="s">
        <v>297</v>
      </c>
      <c r="K18" s="30"/>
    </row>
    <row r="19" spans="2:11" ht="33" customHeight="1" x14ac:dyDescent="0.25">
      <c r="B19" s="112" t="s">
        <v>262</v>
      </c>
      <c r="C19" s="21" t="s">
        <v>299</v>
      </c>
      <c r="D19" s="22" t="s">
        <v>96</v>
      </c>
      <c r="E19" s="23">
        <v>202500</v>
      </c>
      <c r="F19" s="24"/>
      <c r="G19" s="13"/>
      <c r="H19" s="19" t="s">
        <v>300</v>
      </c>
      <c r="K19" s="30"/>
    </row>
    <row r="20" spans="2:11" ht="33" customHeight="1" x14ac:dyDescent="0.25">
      <c r="B20" s="112"/>
      <c r="C20" s="21" t="s">
        <v>228</v>
      </c>
      <c r="D20" s="22" t="s">
        <v>5</v>
      </c>
      <c r="E20" s="28">
        <v>0.15</v>
      </c>
      <c r="F20" s="24"/>
      <c r="G20" s="13"/>
      <c r="H20" s="19" t="s">
        <v>302</v>
      </c>
      <c r="K20" s="30"/>
    </row>
    <row r="21" spans="2:11" ht="33" customHeight="1" x14ac:dyDescent="0.25">
      <c r="B21" s="112"/>
      <c r="C21" s="29" t="s">
        <v>251</v>
      </c>
      <c r="D21" s="22" t="s">
        <v>96</v>
      </c>
      <c r="E21" s="23">
        <v>25750</v>
      </c>
      <c r="F21" s="24" t="s">
        <v>252</v>
      </c>
      <c r="G21" s="13"/>
      <c r="H21" s="19" t="s">
        <v>380</v>
      </c>
      <c r="K21" s="30"/>
    </row>
    <row r="22" spans="2:11" ht="33" customHeight="1" x14ac:dyDescent="0.25">
      <c r="B22" s="32" t="s">
        <v>263</v>
      </c>
      <c r="C22" s="29" t="s">
        <v>229</v>
      </c>
      <c r="D22" s="22" t="s">
        <v>4</v>
      </c>
      <c r="E22" s="23">
        <v>3</v>
      </c>
      <c r="F22" s="24"/>
      <c r="G22" s="13"/>
      <c r="H22" s="19" t="s">
        <v>303</v>
      </c>
      <c r="K22" s="30"/>
    </row>
    <row r="23" spans="2:11" ht="33" customHeight="1" x14ac:dyDescent="0.25">
      <c r="B23" s="32" t="s">
        <v>266</v>
      </c>
      <c r="C23" s="29" t="s">
        <v>153</v>
      </c>
      <c r="D23" s="22" t="s">
        <v>154</v>
      </c>
      <c r="E23" s="23">
        <v>1000000</v>
      </c>
      <c r="F23" s="24"/>
      <c r="G23" s="13"/>
      <c r="H23" s="19" t="s">
        <v>304</v>
      </c>
      <c r="K23" s="30"/>
    </row>
    <row r="24" spans="2:11" ht="33" customHeight="1" x14ac:dyDescent="0.25">
      <c r="B24" s="113" t="s">
        <v>264</v>
      </c>
      <c r="C24" s="29" t="s">
        <v>245</v>
      </c>
      <c r="D24" s="22" t="s">
        <v>4</v>
      </c>
      <c r="E24" s="23">
        <v>14</v>
      </c>
      <c r="F24" s="24"/>
      <c r="G24" s="13"/>
      <c r="H24" s="19" t="s">
        <v>305</v>
      </c>
      <c r="K24" s="30"/>
    </row>
    <row r="25" spans="2:11" ht="33" customHeight="1" x14ac:dyDescent="0.25">
      <c r="B25" s="113"/>
      <c r="C25" s="29" t="s">
        <v>246</v>
      </c>
      <c r="D25" s="22" t="s">
        <v>4</v>
      </c>
      <c r="E25" s="23">
        <v>53</v>
      </c>
      <c r="F25" s="24"/>
      <c r="G25" s="13"/>
      <c r="H25" s="19" t="s">
        <v>306</v>
      </c>
      <c r="K25" s="30"/>
    </row>
    <row r="26" spans="2:11" ht="33" customHeight="1" x14ac:dyDescent="0.25">
      <c r="B26" s="118" t="s">
        <v>265</v>
      </c>
      <c r="C26" s="116" t="s">
        <v>242</v>
      </c>
      <c r="D26" s="22" t="s">
        <v>243</v>
      </c>
      <c r="E26" s="23">
        <v>88</v>
      </c>
      <c r="F26" s="24"/>
      <c r="G26" s="13"/>
      <c r="H26" s="19" t="s">
        <v>307</v>
      </c>
      <c r="K26" s="30"/>
    </row>
    <row r="27" spans="2:11" ht="33" customHeight="1" x14ac:dyDescent="0.25">
      <c r="B27" s="119"/>
      <c r="C27" s="117"/>
      <c r="D27" s="33" t="s">
        <v>343</v>
      </c>
      <c r="E27" s="23">
        <v>100</v>
      </c>
      <c r="F27" s="24"/>
      <c r="G27" s="13"/>
      <c r="H27" s="19" t="s">
        <v>344</v>
      </c>
      <c r="K27" s="30"/>
    </row>
    <row r="28" spans="2:11" ht="33" customHeight="1" x14ac:dyDescent="0.25">
      <c r="B28" s="119"/>
      <c r="C28" s="116" t="s">
        <v>236</v>
      </c>
      <c r="D28" s="22" t="s">
        <v>243</v>
      </c>
      <c r="E28" s="23">
        <v>1</v>
      </c>
      <c r="F28" s="24"/>
      <c r="G28" s="13"/>
      <c r="H28" s="19" t="s">
        <v>307</v>
      </c>
      <c r="K28" s="30"/>
    </row>
    <row r="29" spans="2:11" ht="33" customHeight="1" x14ac:dyDescent="0.25">
      <c r="B29" s="119"/>
      <c r="C29" s="117"/>
      <c r="D29" s="33" t="s">
        <v>343</v>
      </c>
      <c r="E29" s="23">
        <v>1000</v>
      </c>
      <c r="F29" s="24"/>
      <c r="G29" s="13"/>
      <c r="H29" s="19" t="s">
        <v>344</v>
      </c>
      <c r="K29" s="30"/>
    </row>
    <row r="30" spans="2:11" ht="33" customHeight="1" x14ac:dyDescent="0.25">
      <c r="B30" s="119"/>
      <c r="C30" s="116" t="s">
        <v>237</v>
      </c>
      <c r="D30" s="22" t="s">
        <v>243</v>
      </c>
      <c r="E30" s="28">
        <v>0.6</v>
      </c>
      <c r="F30" s="24"/>
      <c r="G30" s="13"/>
      <c r="H30" s="19" t="s">
        <v>307</v>
      </c>
      <c r="K30" s="30"/>
    </row>
    <row r="31" spans="2:11" ht="33" customHeight="1" x14ac:dyDescent="0.25">
      <c r="B31" s="119"/>
      <c r="C31" s="117"/>
      <c r="D31" s="33" t="s">
        <v>343</v>
      </c>
      <c r="E31" s="23">
        <v>5000</v>
      </c>
      <c r="F31" s="24"/>
      <c r="G31" s="13"/>
      <c r="H31" s="19" t="s">
        <v>344</v>
      </c>
      <c r="K31" s="30"/>
    </row>
    <row r="32" spans="2:11" ht="33" customHeight="1" x14ac:dyDescent="0.25">
      <c r="B32" s="119"/>
      <c r="C32" s="116" t="s">
        <v>238</v>
      </c>
      <c r="D32" s="22" t="s">
        <v>243</v>
      </c>
      <c r="E32" s="23">
        <v>4</v>
      </c>
      <c r="F32" s="24"/>
      <c r="G32" s="13"/>
      <c r="H32" s="19" t="s">
        <v>307</v>
      </c>
      <c r="K32" s="30"/>
    </row>
    <row r="33" spans="2:11" ht="33" customHeight="1" x14ac:dyDescent="0.25">
      <c r="B33" s="119"/>
      <c r="C33" s="117"/>
      <c r="D33" s="33" t="s">
        <v>343</v>
      </c>
      <c r="E33" s="23">
        <v>100</v>
      </c>
      <c r="F33" s="24"/>
      <c r="G33" s="13"/>
      <c r="H33" s="19" t="s">
        <v>344</v>
      </c>
      <c r="K33" s="30"/>
    </row>
    <row r="34" spans="2:11" ht="33" customHeight="1" x14ac:dyDescent="0.25">
      <c r="B34" s="119"/>
      <c r="C34" s="116" t="s">
        <v>239</v>
      </c>
      <c r="D34" s="22" t="s">
        <v>243</v>
      </c>
      <c r="E34" s="23">
        <v>5</v>
      </c>
      <c r="F34" s="24"/>
      <c r="G34" s="13"/>
      <c r="H34" s="19" t="s">
        <v>307</v>
      </c>
    </row>
    <row r="35" spans="2:11" ht="33" customHeight="1" x14ac:dyDescent="0.25">
      <c r="B35" s="119"/>
      <c r="C35" s="117"/>
      <c r="D35" s="33" t="s">
        <v>343</v>
      </c>
      <c r="E35" s="23">
        <v>30</v>
      </c>
      <c r="F35" s="24"/>
      <c r="G35" s="13"/>
      <c r="H35" s="19" t="s">
        <v>344</v>
      </c>
      <c r="K35" s="30"/>
    </row>
    <row r="36" spans="2:11" ht="33" customHeight="1" x14ac:dyDescent="0.25">
      <c r="B36" s="119"/>
      <c r="C36" s="116" t="s">
        <v>240</v>
      </c>
      <c r="D36" s="22" t="s">
        <v>243</v>
      </c>
      <c r="E36" s="28">
        <v>0.6</v>
      </c>
      <c r="F36" s="24"/>
      <c r="G36" s="13"/>
      <c r="H36" s="19" t="s">
        <v>307</v>
      </c>
    </row>
    <row r="37" spans="2:11" ht="33" customHeight="1" x14ac:dyDescent="0.25">
      <c r="B37" s="119"/>
      <c r="C37" s="117"/>
      <c r="D37" s="33" t="s">
        <v>343</v>
      </c>
      <c r="E37" s="23">
        <v>30</v>
      </c>
      <c r="F37" s="24"/>
      <c r="G37" s="13"/>
      <c r="H37" s="19" t="s">
        <v>344</v>
      </c>
      <c r="K37" s="30"/>
    </row>
    <row r="38" spans="2:11" ht="33" customHeight="1" x14ac:dyDescent="0.25">
      <c r="B38" s="119"/>
      <c r="C38" s="116" t="s">
        <v>241</v>
      </c>
      <c r="D38" s="22" t="s">
        <v>243</v>
      </c>
      <c r="E38" s="28">
        <v>0.6</v>
      </c>
      <c r="F38" s="24"/>
      <c r="G38" s="13"/>
      <c r="H38" s="19" t="s">
        <v>307</v>
      </c>
    </row>
    <row r="39" spans="2:11" ht="33" customHeight="1" x14ac:dyDescent="0.25">
      <c r="B39" s="120"/>
      <c r="C39" s="117"/>
      <c r="D39" s="33" t="s">
        <v>343</v>
      </c>
      <c r="E39" s="23">
        <v>0</v>
      </c>
      <c r="F39" s="24"/>
      <c r="G39" s="13"/>
      <c r="H39" s="19" t="s">
        <v>344</v>
      </c>
      <c r="K39" s="30"/>
    </row>
    <row r="40" spans="2:11" ht="33" customHeight="1" x14ac:dyDescent="0.25">
      <c r="B40" s="113" t="s">
        <v>267</v>
      </c>
      <c r="C40" s="21" t="s">
        <v>330</v>
      </c>
      <c r="D40" s="22" t="s">
        <v>5</v>
      </c>
      <c r="E40" s="23">
        <v>500</v>
      </c>
      <c r="F40" s="34" t="s">
        <v>7</v>
      </c>
      <c r="G40" s="35"/>
      <c r="H40" s="19" t="s">
        <v>310</v>
      </c>
    </row>
    <row r="41" spans="2:11" ht="33" customHeight="1" x14ac:dyDescent="0.25">
      <c r="B41" s="113"/>
      <c r="C41" s="21" t="s">
        <v>200</v>
      </c>
      <c r="D41" s="22" t="s">
        <v>10</v>
      </c>
      <c r="E41" s="23">
        <v>500</v>
      </c>
      <c r="F41" s="24" t="s">
        <v>12</v>
      </c>
      <c r="G41" s="13"/>
      <c r="H41" s="19" t="s">
        <v>312</v>
      </c>
    </row>
    <row r="42" spans="2:11" ht="33" customHeight="1" x14ac:dyDescent="0.25">
      <c r="B42" s="113"/>
      <c r="C42" s="21" t="s">
        <v>11</v>
      </c>
      <c r="D42" s="22" t="s">
        <v>10</v>
      </c>
      <c r="E42" s="23">
        <v>500</v>
      </c>
      <c r="F42" s="24" t="s">
        <v>12</v>
      </c>
      <c r="G42" s="13"/>
      <c r="H42" s="19" t="s">
        <v>311</v>
      </c>
    </row>
    <row r="43" spans="2:11" ht="33" customHeight="1" x14ac:dyDescent="0.25">
      <c r="B43" s="36" t="s">
        <v>350</v>
      </c>
      <c r="C43" s="21" t="s">
        <v>351</v>
      </c>
      <c r="D43" s="22" t="s">
        <v>352</v>
      </c>
      <c r="E43" s="23">
        <v>45</v>
      </c>
      <c r="F43" s="24"/>
      <c r="G43" s="13"/>
      <c r="H43" s="19" t="s">
        <v>379</v>
      </c>
    </row>
    <row r="44" spans="2:11" ht="33" customHeight="1" x14ac:dyDescent="0.25">
      <c r="B44" s="13"/>
      <c r="C44" s="13"/>
      <c r="D44" s="13"/>
      <c r="G44" s="13"/>
      <c r="H44" s="14"/>
    </row>
    <row r="45" spans="2:11" ht="33" customHeight="1" thickBot="1" x14ac:dyDescent="0.3">
      <c r="B45" s="13"/>
      <c r="C45" s="13"/>
      <c r="D45" s="13"/>
      <c r="G45" s="13"/>
      <c r="H45" s="14"/>
    </row>
    <row r="46" spans="2:11" ht="33" customHeight="1" x14ac:dyDescent="0.25">
      <c r="B46" s="13"/>
      <c r="C46" s="123" t="s">
        <v>276</v>
      </c>
      <c r="D46" s="124"/>
      <c r="E46" s="37">
        <v>0.35</v>
      </c>
      <c r="G46" s="13"/>
      <c r="H46" s="33" t="s">
        <v>313</v>
      </c>
    </row>
    <row r="47" spans="2:11" ht="33" customHeight="1" thickBot="1" x14ac:dyDescent="0.3">
      <c r="B47" s="13"/>
      <c r="C47" s="114" t="s">
        <v>277</v>
      </c>
      <c r="D47" s="115"/>
      <c r="E47" s="38">
        <v>0.25</v>
      </c>
      <c r="G47" s="13"/>
      <c r="H47" s="33" t="s">
        <v>314</v>
      </c>
    </row>
    <row r="48" spans="2:11" ht="33" customHeight="1" x14ac:dyDescent="0.25">
      <c r="C48" s="13"/>
      <c r="D48" s="13"/>
      <c r="E48" s="13"/>
      <c r="F48" s="13"/>
      <c r="G48" s="13"/>
      <c r="H48" s="14"/>
    </row>
    <row r="49" spans="2:8" ht="33" customHeight="1" x14ac:dyDescent="0.25">
      <c r="C49" s="111" t="s">
        <v>189</v>
      </c>
      <c r="D49" s="111"/>
      <c r="E49" s="111"/>
      <c r="F49" s="111"/>
      <c r="G49" s="39"/>
      <c r="H49" s="40"/>
    </row>
    <row r="50" spans="2:8" ht="33" customHeight="1" x14ac:dyDescent="0.25">
      <c r="C50" s="17" t="s">
        <v>0</v>
      </c>
      <c r="D50" s="17" t="s">
        <v>1</v>
      </c>
      <c r="E50" s="17" t="s">
        <v>116</v>
      </c>
      <c r="F50" s="17" t="s">
        <v>3</v>
      </c>
      <c r="G50" s="39"/>
      <c r="H50" s="33" t="s">
        <v>315</v>
      </c>
    </row>
    <row r="51" spans="2:8" ht="33" customHeight="1" x14ac:dyDescent="0.25">
      <c r="C51" s="41" t="s">
        <v>190</v>
      </c>
      <c r="D51" s="41" t="s">
        <v>198</v>
      </c>
      <c r="E51" s="42">
        <f>ESTIMATE!I57</f>
        <v>104738668.2733704</v>
      </c>
      <c r="F51" s="43"/>
      <c r="G51" s="39"/>
      <c r="H51" s="33" t="s">
        <v>316</v>
      </c>
    </row>
    <row r="52" spans="2:8" ht="33" customHeight="1" x14ac:dyDescent="0.25">
      <c r="B52" s="44" t="s">
        <v>165</v>
      </c>
      <c r="C52" s="41" t="s">
        <v>164</v>
      </c>
      <c r="D52" s="41" t="s">
        <v>198</v>
      </c>
      <c r="E52" s="42">
        <f>IF(B52="yes",ESTIMATE!I71,0)</f>
        <v>19833038.100000001</v>
      </c>
      <c r="F52" s="43"/>
      <c r="G52" s="39"/>
      <c r="H52" s="33" t="s">
        <v>317</v>
      </c>
    </row>
    <row r="53" spans="2:8" ht="33" customHeight="1" x14ac:dyDescent="0.25">
      <c r="C53" s="41" t="s">
        <v>191</v>
      </c>
      <c r="D53" s="41" t="s">
        <v>198</v>
      </c>
      <c r="E53" s="42">
        <f>+E51-E52</f>
        <v>84905630.173370391</v>
      </c>
      <c r="F53" s="43"/>
      <c r="G53" s="39"/>
      <c r="H53" s="33" t="s">
        <v>318</v>
      </c>
    </row>
    <row r="54" spans="2:8" ht="33" customHeight="1" x14ac:dyDescent="0.25">
      <c r="C54" s="41" t="s">
        <v>271</v>
      </c>
      <c r="D54" s="41" t="s">
        <v>273</v>
      </c>
      <c r="E54" s="42">
        <f>E51/E4</f>
        <v>387920.99360507558</v>
      </c>
      <c r="F54" s="43"/>
      <c r="G54" s="39"/>
      <c r="H54" s="33" t="s">
        <v>319</v>
      </c>
    </row>
    <row r="55" spans="2:8" ht="33" customHeight="1" x14ac:dyDescent="0.25">
      <c r="C55" s="41" t="s">
        <v>272</v>
      </c>
      <c r="D55" s="41" t="s">
        <v>273</v>
      </c>
      <c r="E55" s="45">
        <f>E53/E4</f>
        <v>314465.29693840886</v>
      </c>
      <c r="F55" s="43"/>
      <c r="G55" s="39"/>
      <c r="H55" s="33" t="s">
        <v>320</v>
      </c>
    </row>
    <row r="56" spans="2:8" ht="33" customHeight="1" x14ac:dyDescent="0.25">
      <c r="C56" s="41" t="s">
        <v>192</v>
      </c>
      <c r="D56" s="41" t="s">
        <v>199</v>
      </c>
      <c r="E56" s="45">
        <f>E51/$E$5</f>
        <v>1396515.5769782721</v>
      </c>
      <c r="F56" s="43"/>
      <c r="G56" s="39"/>
      <c r="H56" s="33" t="s">
        <v>321</v>
      </c>
    </row>
    <row r="57" spans="2:8" ht="33" customHeight="1" x14ac:dyDescent="0.25">
      <c r="C57" s="41" t="s">
        <v>193</v>
      </c>
      <c r="D57" s="41" t="s">
        <v>199</v>
      </c>
      <c r="E57" s="45">
        <f>E53/$E$5</f>
        <v>1132075.0689782719</v>
      </c>
      <c r="F57" s="43"/>
      <c r="G57" s="39"/>
      <c r="H57" s="33" t="s">
        <v>322</v>
      </c>
    </row>
  </sheetData>
  <sheetProtection algorithmName="SHA-512" hashValue="P6mrTxYhKQPKAvAo3DJSvXUoKpUFAUiEXAcW03PlAhFWgXiI8v43ayQxoPEzuxNhmu0l/NcdpAy9Q6rJYCbQNQ==" saltValue="w+eEEzYojNbzJsx9lx2kzA==" spinCount="100000" sheet="1" selectLockedCells="1"/>
  <mergeCells count="18">
    <mergeCell ref="B2:F2"/>
    <mergeCell ref="B15:B18"/>
    <mergeCell ref="J2:K2"/>
    <mergeCell ref="B5:B14"/>
    <mergeCell ref="C46:D46"/>
    <mergeCell ref="C49:F49"/>
    <mergeCell ref="B19:B21"/>
    <mergeCell ref="B24:B25"/>
    <mergeCell ref="B40:B42"/>
    <mergeCell ref="C47:D47"/>
    <mergeCell ref="C26:C27"/>
    <mergeCell ref="C28:C29"/>
    <mergeCell ref="C30:C31"/>
    <mergeCell ref="C32:C33"/>
    <mergeCell ref="C34:C35"/>
    <mergeCell ref="C36:C37"/>
    <mergeCell ref="C38:C39"/>
    <mergeCell ref="B26:B39"/>
  </mergeCells>
  <dataValidations count="1">
    <dataValidation type="list" allowBlank="1" showInputMessage="1" showErrorMessage="1" sqref="K4:K14" xr:uid="{856055F5-06F7-44C7-874A-70E4E8283245}">
      <formula1>"Yes,No"</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58E7222-F970-4B35-8A8E-934D9865D11E}">
          <x14:formula1>
            <xm:f>CREWS!$C$59:$C$60</xm:f>
          </x14:formula1>
          <xm:sqref>B52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8A19B-57F7-4E16-ABCF-15293EC4E303}">
  <dimension ref="A3:U75"/>
  <sheetViews>
    <sheetView topLeftCell="D1" zoomScaleNormal="100" workbookViewId="0">
      <pane ySplit="4" topLeftCell="A44" activePane="bottomLeft" state="frozen"/>
      <selection pane="bottomLeft" activeCell="J63" sqref="J63"/>
    </sheetView>
  </sheetViews>
  <sheetFormatPr defaultColWidth="8.85546875" defaultRowHeight="18" x14ac:dyDescent="0.25"/>
  <cols>
    <col min="1" max="1" width="8.85546875" style="13"/>
    <col min="2" max="2" width="46.7109375" style="13" customWidth="1"/>
    <col min="3" max="3" width="32.5703125" style="13" customWidth="1"/>
    <col min="4" max="4" width="18.140625" style="13" customWidth="1"/>
    <col min="5" max="5" width="12.85546875" style="13" bestFit="1" customWidth="1"/>
    <col min="6" max="6" width="12.85546875" style="61" bestFit="1" customWidth="1"/>
    <col min="7" max="7" width="15.28515625" style="13" customWidth="1"/>
    <col min="8" max="8" width="11.140625" style="13" customWidth="1"/>
    <col min="9" max="9" width="20.42578125" style="61" customWidth="1"/>
    <col min="10" max="10" width="85.28515625" style="13" customWidth="1"/>
    <col min="11" max="11" width="14" style="13" customWidth="1"/>
    <col min="12" max="12" width="18.28515625" style="13" bestFit="1" customWidth="1"/>
    <col min="13" max="13" width="10.7109375" style="13" bestFit="1" customWidth="1"/>
    <col min="14" max="15" width="8.85546875" style="13"/>
    <col min="16" max="16" width="79.140625" style="13" customWidth="1"/>
    <col min="17" max="17" width="26.5703125" style="13" customWidth="1"/>
    <col min="18" max="18" width="25" style="13" bestFit="1" customWidth="1"/>
    <col min="19" max="19" width="23.7109375" style="13" bestFit="1" customWidth="1"/>
    <col min="20" max="20" width="33.85546875" style="13" bestFit="1" customWidth="1"/>
    <col min="21" max="21" width="40.140625" style="13" bestFit="1" customWidth="1"/>
    <col min="22" max="16384" width="8.85546875" style="13"/>
  </cols>
  <sheetData>
    <row r="3" spans="1:16" ht="45" customHeight="1" x14ac:dyDescent="0.25">
      <c r="A3" s="125" t="s">
        <v>122</v>
      </c>
      <c r="B3" s="125"/>
      <c r="C3" s="125"/>
      <c r="D3" s="125"/>
      <c r="E3" s="125"/>
      <c r="F3" s="125"/>
      <c r="G3" s="125"/>
      <c r="H3" s="125"/>
      <c r="I3" s="125"/>
      <c r="J3" s="125"/>
      <c r="K3" s="125"/>
      <c r="L3" s="125"/>
      <c r="M3" s="125"/>
    </row>
    <row r="4" spans="1:16" ht="41.45" customHeight="1" x14ac:dyDescent="0.25">
      <c r="A4" s="47" t="s">
        <v>67</v>
      </c>
      <c r="B4" s="47" t="s">
        <v>0</v>
      </c>
      <c r="C4" s="47" t="s">
        <v>68</v>
      </c>
      <c r="D4" s="47" t="s">
        <v>1</v>
      </c>
      <c r="E4" s="47" t="s">
        <v>2</v>
      </c>
      <c r="F4" s="48" t="s">
        <v>135</v>
      </c>
      <c r="G4" s="49" t="s">
        <v>136</v>
      </c>
      <c r="H4" s="49" t="s">
        <v>69</v>
      </c>
      <c r="I4" s="48" t="s">
        <v>133</v>
      </c>
      <c r="J4" s="47" t="s">
        <v>3</v>
      </c>
      <c r="K4" s="47" t="s">
        <v>173</v>
      </c>
      <c r="L4" s="47" t="s">
        <v>174</v>
      </c>
      <c r="M4" s="47" t="s">
        <v>177</v>
      </c>
    </row>
    <row r="5" spans="1:16" ht="30" customHeight="1" x14ac:dyDescent="0.25">
      <c r="A5" s="25">
        <v>1</v>
      </c>
      <c r="B5" s="25" t="s">
        <v>30</v>
      </c>
      <c r="C5" s="25" t="s">
        <v>31</v>
      </c>
      <c r="D5" s="25" t="s">
        <v>4</v>
      </c>
      <c r="E5" s="50">
        <f>'INPUT-OUTPUT'!$E$5</f>
        <v>75</v>
      </c>
      <c r="F5" s="50">
        <f>VLOOKUP(C5,CREWS!$I$4:$N$112,6,0)</f>
        <v>1640</v>
      </c>
      <c r="G5" s="50">
        <v>4</v>
      </c>
      <c r="H5" s="50">
        <f>ROUNDUP(E5/G5,0)</f>
        <v>19</v>
      </c>
      <c r="I5" s="50">
        <f>F5*H5</f>
        <v>31160</v>
      </c>
      <c r="J5" s="25" t="s">
        <v>128</v>
      </c>
      <c r="K5" s="25">
        <v>1</v>
      </c>
      <c r="L5" s="25">
        <v>2</v>
      </c>
      <c r="M5" s="25">
        <f>K5*L5</f>
        <v>2</v>
      </c>
      <c r="P5" s="51" t="s">
        <v>301</v>
      </c>
    </row>
    <row r="6" spans="1:16" ht="30" customHeight="1" x14ac:dyDescent="0.25">
      <c r="A6" s="25">
        <v>2</v>
      </c>
      <c r="B6" s="25" t="s">
        <v>71</v>
      </c>
      <c r="C6" s="25" t="s">
        <v>131</v>
      </c>
      <c r="D6" s="25" t="s">
        <v>70</v>
      </c>
      <c r="E6" s="50">
        <f>'INPUT-OUTPUT'!E5*'INPUT-OUTPUT'!E14</f>
        <v>3420000</v>
      </c>
      <c r="F6" s="50">
        <f>VLOOKUP(C6,CREWS!$I$4:$N$112,6,0)</f>
        <v>5850</v>
      </c>
      <c r="G6" s="52">
        <v>75000</v>
      </c>
      <c r="H6" s="50">
        <f>ROUNDUP(E6/G6,0)</f>
        <v>46</v>
      </c>
      <c r="I6" s="50">
        <f>F6*H6</f>
        <v>269100</v>
      </c>
      <c r="J6" s="25" t="s">
        <v>331</v>
      </c>
      <c r="K6" s="25">
        <v>1</v>
      </c>
      <c r="L6" s="25">
        <v>6</v>
      </c>
      <c r="M6" s="25">
        <f t="shared" ref="M6:M27" si="0">K6*L6</f>
        <v>6</v>
      </c>
      <c r="P6" s="129" t="s">
        <v>364</v>
      </c>
    </row>
    <row r="7" spans="1:16" ht="30" customHeight="1" x14ac:dyDescent="0.25">
      <c r="A7" s="25">
        <v>2</v>
      </c>
      <c r="B7" s="25" t="s">
        <v>33</v>
      </c>
      <c r="C7" s="53" t="s">
        <v>132</v>
      </c>
      <c r="D7" s="25" t="s">
        <v>5</v>
      </c>
      <c r="E7" s="50">
        <f>'INPUT-OUTPUT'!E5*'INPUT-OUTPUT'!E40*'INPUT-OUTPUT'!E16*'INPUT-OUTPUT'!L5+'INPUT-OUTPUT'!E5*('INPUT-OUTPUT'!E6+25)*'INPUT-OUTPUT'!E15</f>
        <v>261450</v>
      </c>
      <c r="F7" s="50">
        <f>VLOOKUP(C7,CREWS!$I$4:$N$112,6,0)</f>
        <v>3250</v>
      </c>
      <c r="G7" s="52">
        <v>7500</v>
      </c>
      <c r="H7" s="50">
        <f>ROUNDUP(E7/G7,0)</f>
        <v>35</v>
      </c>
      <c r="I7" s="50">
        <f>F7*H7</f>
        <v>113750</v>
      </c>
      <c r="J7" s="25"/>
      <c r="K7" s="25">
        <v>1</v>
      </c>
      <c r="L7" s="25">
        <v>4</v>
      </c>
      <c r="M7" s="25">
        <f t="shared" si="0"/>
        <v>4</v>
      </c>
      <c r="P7" s="130"/>
    </row>
    <row r="8" spans="1:16" ht="30" customHeight="1" x14ac:dyDescent="0.25">
      <c r="A8" s="127">
        <v>3</v>
      </c>
      <c r="B8" s="127" t="s">
        <v>134</v>
      </c>
      <c r="C8" s="53" t="s">
        <v>66</v>
      </c>
      <c r="D8" s="25" t="s">
        <v>140</v>
      </c>
      <c r="E8" s="50">
        <f>'INPUT-OUTPUT'!$E$5</f>
        <v>75</v>
      </c>
      <c r="F8" s="50">
        <f>VLOOKUP(C8,CREWS!$I$4:$N$112,6,0)</f>
        <v>48490</v>
      </c>
      <c r="G8" s="54">
        <v>0.5</v>
      </c>
      <c r="H8" s="50">
        <f>ROUNDUP(E8/G8,0)</f>
        <v>150</v>
      </c>
      <c r="I8" s="50">
        <f>F8*H8</f>
        <v>7273500</v>
      </c>
      <c r="J8" s="25" t="s">
        <v>374</v>
      </c>
      <c r="K8" s="25">
        <v>2</v>
      </c>
      <c r="L8" s="50">
        <v>8</v>
      </c>
      <c r="M8" s="25">
        <f t="shared" si="0"/>
        <v>16</v>
      </c>
      <c r="P8" s="130"/>
    </row>
    <row r="9" spans="1:16" ht="30" customHeight="1" x14ac:dyDescent="0.25">
      <c r="A9" s="127"/>
      <c r="B9" s="127"/>
      <c r="C9" s="53" t="s">
        <v>66</v>
      </c>
      <c r="D9" s="25" t="s">
        <v>140</v>
      </c>
      <c r="E9" s="50">
        <f>'INPUT-OUTPUT'!$E$5</f>
        <v>75</v>
      </c>
      <c r="F9" s="50">
        <f>VLOOKUP(C9,CREWS!$I$4:$N$112,6,0)</f>
        <v>48490</v>
      </c>
      <c r="G9" s="54">
        <v>1</v>
      </c>
      <c r="H9" s="50">
        <f>ROUNDUP(E9/G9,0)</f>
        <v>75</v>
      </c>
      <c r="I9" s="50">
        <f>F9*H9</f>
        <v>3636750</v>
      </c>
      <c r="J9" s="25" t="s">
        <v>137</v>
      </c>
      <c r="K9" s="25"/>
      <c r="L9" s="25"/>
      <c r="M9" s="25"/>
      <c r="P9" s="130"/>
    </row>
    <row r="10" spans="1:16" ht="30" customHeight="1" x14ac:dyDescent="0.25">
      <c r="A10" s="127"/>
      <c r="B10" s="127"/>
      <c r="C10" s="53" t="s">
        <v>72</v>
      </c>
      <c r="D10" s="25" t="s">
        <v>140</v>
      </c>
      <c r="E10" s="50">
        <f>E8-1</f>
        <v>74</v>
      </c>
      <c r="F10" s="50">
        <f>CREWS!$N$51</f>
        <v>75630</v>
      </c>
      <c r="G10" s="50">
        <v>1</v>
      </c>
      <c r="H10" s="50">
        <v>3</v>
      </c>
      <c r="I10" s="50">
        <f>E10*F10</f>
        <v>5596620</v>
      </c>
      <c r="J10" s="25" t="s">
        <v>354</v>
      </c>
      <c r="K10" s="25"/>
      <c r="L10" s="25"/>
      <c r="M10" s="25"/>
      <c r="P10" s="130"/>
    </row>
    <row r="11" spans="1:16" ht="30" customHeight="1" x14ac:dyDescent="0.25">
      <c r="A11" s="127">
        <v>4</v>
      </c>
      <c r="B11" s="127" t="s">
        <v>92</v>
      </c>
      <c r="C11" s="25" t="s">
        <v>47</v>
      </c>
      <c r="D11" s="25" t="s">
        <v>73</v>
      </c>
      <c r="E11" s="50">
        <f>'INPUT-OUTPUT'!E5*('INPUT-OUTPUT'!E11*('INPUT-OUTPUT'!E12+'INPUT-OUTPUT'!E13))*'INPUT-OUTPUT'!L6</f>
        <v>5250</v>
      </c>
      <c r="F11" s="50">
        <f>VLOOKUP(C11,CREWS!$I$4:$N$112,6,0)</f>
        <v>6550</v>
      </c>
      <c r="G11" s="50">
        <v>25</v>
      </c>
      <c r="H11" s="50">
        <f>E11/G11/CREWS!$D$10</f>
        <v>21</v>
      </c>
      <c r="I11" s="50">
        <f>F11*H11</f>
        <v>137550</v>
      </c>
      <c r="J11" s="55" t="s">
        <v>328</v>
      </c>
      <c r="K11" s="25">
        <v>1</v>
      </c>
      <c r="L11" s="25">
        <v>2</v>
      </c>
      <c r="M11" s="25">
        <f t="shared" si="0"/>
        <v>2</v>
      </c>
      <c r="P11" s="130"/>
    </row>
    <row r="12" spans="1:16" ht="30" customHeight="1" x14ac:dyDescent="0.25">
      <c r="A12" s="127"/>
      <c r="B12" s="127"/>
      <c r="C12" s="25" t="s">
        <v>90</v>
      </c>
      <c r="D12" s="25" t="s">
        <v>8</v>
      </c>
      <c r="E12" s="50">
        <f>$E$11*2.5</f>
        <v>13125</v>
      </c>
      <c r="F12" s="50">
        <f>VLOOKUP(C12,CREWS!$I$4:$N$112,6,0)</f>
        <v>18150</v>
      </c>
      <c r="G12" s="50">
        <f>CREWS!D37*10</f>
        <v>100</v>
      </c>
      <c r="H12" s="50">
        <f>ROUNDUP(E12/G12/CREWS!$D$10,0)</f>
        <v>14</v>
      </c>
      <c r="I12" s="50">
        <f>F12*H12</f>
        <v>254100</v>
      </c>
      <c r="J12" s="25" t="s">
        <v>329</v>
      </c>
      <c r="K12" s="25"/>
      <c r="L12" s="25"/>
      <c r="M12" s="25"/>
      <c r="P12" s="130"/>
    </row>
    <row r="13" spans="1:16" ht="30" customHeight="1" x14ac:dyDescent="0.25">
      <c r="A13" s="127"/>
      <c r="B13" s="127"/>
      <c r="C13" s="25" t="s">
        <v>91</v>
      </c>
      <c r="D13" s="25" t="s">
        <v>8</v>
      </c>
      <c r="E13" s="50">
        <f>$E$11*2.5-E15</f>
        <v>11625</v>
      </c>
      <c r="F13" s="50"/>
      <c r="G13" s="50"/>
      <c r="H13" s="50"/>
      <c r="I13" s="50"/>
      <c r="J13" s="25" t="s">
        <v>332</v>
      </c>
      <c r="K13" s="25"/>
      <c r="L13" s="25"/>
      <c r="M13" s="25"/>
      <c r="P13" s="130"/>
    </row>
    <row r="14" spans="1:16" ht="30" customHeight="1" x14ac:dyDescent="0.25">
      <c r="A14" s="127"/>
      <c r="B14" s="127"/>
      <c r="C14" s="25" t="s">
        <v>145</v>
      </c>
      <c r="D14" s="25" t="s">
        <v>8</v>
      </c>
      <c r="E14" s="50">
        <f>E11*0.22*'INPUT-OUTPUT'!L6</f>
        <v>1155</v>
      </c>
      <c r="F14" s="50"/>
      <c r="G14" s="50"/>
      <c r="H14" s="50"/>
      <c r="I14" s="50"/>
      <c r="J14" s="25" t="s">
        <v>332</v>
      </c>
      <c r="K14" s="25"/>
      <c r="L14" s="25"/>
      <c r="M14" s="25"/>
      <c r="P14" s="130"/>
    </row>
    <row r="15" spans="1:16" ht="30" customHeight="1" x14ac:dyDescent="0.25">
      <c r="A15" s="127"/>
      <c r="B15" s="127"/>
      <c r="C15" s="53" t="s">
        <v>166</v>
      </c>
      <c r="D15" s="25" t="s">
        <v>73</v>
      </c>
      <c r="E15" s="50">
        <f>'INPUT-OUTPUT'!E5*('INPUT-OUTPUT'!E11*'INPUT-OUTPUT'!E13)*'INPUT-OUTPUT'!L6</f>
        <v>1500</v>
      </c>
      <c r="F15" s="50">
        <f>VLOOKUP(C15,CREWS!$I$4:$N$112,6,0)</f>
        <v>7750</v>
      </c>
      <c r="G15" s="50">
        <f>20*10</f>
        <v>200</v>
      </c>
      <c r="H15" s="50">
        <f>E15/G15</f>
        <v>7.5</v>
      </c>
      <c r="I15" s="50">
        <f>H15*F15</f>
        <v>58125</v>
      </c>
      <c r="J15" s="25" t="s">
        <v>148</v>
      </c>
      <c r="K15" s="25">
        <v>1</v>
      </c>
      <c r="L15" s="25">
        <v>1</v>
      </c>
      <c r="M15" s="25">
        <f t="shared" si="0"/>
        <v>1</v>
      </c>
      <c r="P15" s="130"/>
    </row>
    <row r="16" spans="1:16" ht="30" customHeight="1" x14ac:dyDescent="0.25">
      <c r="A16" s="127">
        <v>5</v>
      </c>
      <c r="B16" s="127" t="s">
        <v>93</v>
      </c>
      <c r="C16" s="53" t="s">
        <v>167</v>
      </c>
      <c r="D16" s="25" t="s">
        <v>5</v>
      </c>
      <c r="E16" s="50">
        <f>'INPUT-OUTPUT'!$E$5*'INPUT-OUTPUT'!E40*'INPUT-OUTPUT'!L5</f>
        <v>37500</v>
      </c>
      <c r="F16" s="50">
        <f>VLOOKUP(C16,CREWS!$I$4:$N$112,6,0)</f>
        <v>8400</v>
      </c>
      <c r="G16" s="50">
        <v>20</v>
      </c>
      <c r="H16" s="50">
        <f>ROUNDUP(E16/G16/CREWS!$D$10,0)</f>
        <v>188</v>
      </c>
      <c r="I16" s="50">
        <f>F16*H16</f>
        <v>1579200</v>
      </c>
      <c r="J16" s="25" t="s">
        <v>172</v>
      </c>
      <c r="K16" s="25">
        <v>2</v>
      </c>
      <c r="L16" s="25">
        <v>2</v>
      </c>
      <c r="M16" s="25">
        <f t="shared" si="0"/>
        <v>4</v>
      </c>
      <c r="P16" s="130"/>
    </row>
    <row r="17" spans="1:16" ht="30" customHeight="1" x14ac:dyDescent="0.25">
      <c r="A17" s="127"/>
      <c r="B17" s="127"/>
      <c r="C17" s="53" t="s">
        <v>168</v>
      </c>
      <c r="D17" s="25" t="s">
        <v>140</v>
      </c>
      <c r="E17" s="50">
        <f>E16/'INPUT-OUTPUT'!E18*'INPUT-OUTPUT'!L5</f>
        <v>150</v>
      </c>
      <c r="F17" s="50">
        <f>VLOOKUP(C17,CREWS!$I$4:$N$112,6,0)</f>
        <v>8550</v>
      </c>
      <c r="G17" s="50">
        <v>1</v>
      </c>
      <c r="H17" s="50">
        <f>E17*G17/10</f>
        <v>15</v>
      </c>
      <c r="I17" s="50">
        <f>F17*H17</f>
        <v>128250</v>
      </c>
      <c r="J17" s="25" t="s">
        <v>334</v>
      </c>
      <c r="K17" s="25">
        <v>1</v>
      </c>
      <c r="L17" s="25">
        <v>2</v>
      </c>
      <c r="M17" s="25">
        <f t="shared" si="0"/>
        <v>2</v>
      </c>
      <c r="P17" s="130"/>
    </row>
    <row r="18" spans="1:16" ht="30" customHeight="1" x14ac:dyDescent="0.25">
      <c r="A18" s="127"/>
      <c r="B18" s="127"/>
      <c r="C18" s="25" t="s">
        <v>94</v>
      </c>
      <c r="D18" s="25" t="s">
        <v>5</v>
      </c>
      <c r="E18" s="50">
        <f>E16</f>
        <v>37500</v>
      </c>
      <c r="F18" s="50">
        <f>CREWS!D29*10</f>
        <v>1750</v>
      </c>
      <c r="G18" s="50">
        <v>250</v>
      </c>
      <c r="H18" s="50">
        <f>ROUNDUP(E18/G18,0)</f>
        <v>150</v>
      </c>
      <c r="I18" s="50">
        <f>F18*H18</f>
        <v>262500</v>
      </c>
      <c r="J18" s="55" t="s">
        <v>333</v>
      </c>
      <c r="K18" s="25"/>
      <c r="L18" s="25"/>
      <c r="M18" s="25"/>
      <c r="P18" s="130"/>
    </row>
    <row r="19" spans="1:16" ht="30" customHeight="1" x14ac:dyDescent="0.25">
      <c r="A19" s="127"/>
      <c r="B19" s="127"/>
      <c r="C19" s="25" t="s">
        <v>146</v>
      </c>
      <c r="D19" s="25" t="s">
        <v>8</v>
      </c>
      <c r="E19" s="50">
        <f>E16*0.77*0.94*4</f>
        <v>108570</v>
      </c>
      <c r="F19" s="50">
        <v>65</v>
      </c>
      <c r="G19" s="50"/>
      <c r="H19" s="50"/>
      <c r="I19" s="50">
        <f>E19*F19</f>
        <v>7057050</v>
      </c>
      <c r="J19" s="55" t="s">
        <v>194</v>
      </c>
      <c r="K19" s="25"/>
      <c r="L19" s="25"/>
      <c r="M19" s="25"/>
      <c r="P19" s="130"/>
    </row>
    <row r="20" spans="1:16" ht="30" customHeight="1" x14ac:dyDescent="0.25">
      <c r="A20" s="127"/>
      <c r="B20" s="127"/>
      <c r="C20" s="53" t="s">
        <v>147</v>
      </c>
      <c r="D20" s="25" t="s">
        <v>8</v>
      </c>
      <c r="E20" s="50">
        <f>E17*1*'INPUT-OUTPUT'!L5</f>
        <v>150</v>
      </c>
      <c r="F20" s="50">
        <f>F13</f>
        <v>0</v>
      </c>
      <c r="H20" s="50"/>
      <c r="I20" s="50">
        <f>E20*F20</f>
        <v>0</v>
      </c>
      <c r="J20" s="25" t="s">
        <v>335</v>
      </c>
      <c r="K20" s="25"/>
      <c r="L20" s="25"/>
      <c r="M20" s="25"/>
      <c r="P20" s="130"/>
    </row>
    <row r="21" spans="1:16" ht="30" customHeight="1" x14ac:dyDescent="0.25">
      <c r="A21" s="127">
        <v>6</v>
      </c>
      <c r="B21" s="127" t="s">
        <v>95</v>
      </c>
      <c r="C21" s="25" t="s">
        <v>58</v>
      </c>
      <c r="D21" s="25" t="s">
        <v>96</v>
      </c>
      <c r="E21" s="50">
        <f>'INPUT-OUTPUT'!E19*'INPUT-OUTPUT'!L4</f>
        <v>202500</v>
      </c>
      <c r="F21" s="50">
        <f>VLOOKUP(C21,CREWS!$I$4:$N$112,6,0)</f>
        <v>9850</v>
      </c>
      <c r="G21" s="50">
        <v>120</v>
      </c>
      <c r="H21" s="50">
        <f>ROUNDUP(E21/G21/CREWS!D10,0)</f>
        <v>169</v>
      </c>
      <c r="I21" s="50">
        <f>H21*F21</f>
        <v>1664650</v>
      </c>
      <c r="J21" s="25" t="s">
        <v>97</v>
      </c>
      <c r="K21" s="25">
        <v>3</v>
      </c>
      <c r="L21" s="25">
        <v>1</v>
      </c>
      <c r="M21" s="25">
        <f t="shared" si="0"/>
        <v>3</v>
      </c>
      <c r="P21" s="130"/>
    </row>
    <row r="22" spans="1:16" ht="30" customHeight="1" x14ac:dyDescent="0.25">
      <c r="A22" s="127"/>
      <c r="B22" s="127"/>
      <c r="C22" s="25" t="s">
        <v>100</v>
      </c>
      <c r="D22" s="25" t="s">
        <v>73</v>
      </c>
      <c r="E22" s="50">
        <f>(E21*'INPUT-OUTPUT'!E20-E15)*'INPUT-OUTPUT'!L4</f>
        <v>28875</v>
      </c>
      <c r="F22" s="50">
        <f>VLOOKUP(C22,CREWS!I16:N63,6,0)</f>
        <v>32150</v>
      </c>
      <c r="G22" s="50">
        <v>30</v>
      </c>
      <c r="H22" s="50">
        <f>ROUNDUP(E22/G22/CREWS!$D$10,0)</f>
        <v>97</v>
      </c>
      <c r="I22" s="50">
        <f>H22*F22</f>
        <v>3118550</v>
      </c>
      <c r="J22" s="25" t="s">
        <v>149</v>
      </c>
      <c r="K22" s="25">
        <v>2</v>
      </c>
      <c r="L22" s="25">
        <v>1</v>
      </c>
      <c r="M22" s="25">
        <f t="shared" si="0"/>
        <v>2</v>
      </c>
      <c r="P22" s="130"/>
    </row>
    <row r="23" spans="1:16" ht="30" customHeight="1" x14ac:dyDescent="0.25">
      <c r="A23" s="127"/>
      <c r="B23" s="127"/>
      <c r="C23" s="25" t="s">
        <v>91</v>
      </c>
      <c r="D23" s="25" t="s">
        <v>8</v>
      </c>
      <c r="E23" s="50">
        <f>E22*1.8</f>
        <v>51975</v>
      </c>
      <c r="F23" s="50">
        <v>60</v>
      </c>
      <c r="G23" s="50"/>
      <c r="H23" s="50"/>
      <c r="I23" s="50">
        <f>E23*F23</f>
        <v>3118500</v>
      </c>
      <c r="J23" s="25"/>
      <c r="K23" s="25"/>
      <c r="L23" s="25"/>
      <c r="M23" s="25"/>
    </row>
    <row r="24" spans="1:16" ht="30" customHeight="1" x14ac:dyDescent="0.25">
      <c r="A24" s="127">
        <v>7</v>
      </c>
      <c r="B24" s="127" t="s">
        <v>150</v>
      </c>
      <c r="C24" s="25" t="s">
        <v>60</v>
      </c>
      <c r="D24" s="25" t="s">
        <v>140</v>
      </c>
      <c r="E24" s="50">
        <v>1</v>
      </c>
      <c r="F24" s="50">
        <f>VLOOKUP(C24,CREWS!$I$4:$N$112,6,0)</f>
        <v>11250</v>
      </c>
      <c r="G24" s="50">
        <v>20</v>
      </c>
      <c r="H24" s="50">
        <f>E24*G24</f>
        <v>20</v>
      </c>
      <c r="I24" s="50">
        <f>H24*F24</f>
        <v>225000</v>
      </c>
      <c r="J24" s="127" t="s">
        <v>103</v>
      </c>
      <c r="K24" s="25">
        <v>1</v>
      </c>
      <c r="L24" s="25">
        <v>4</v>
      </c>
      <c r="M24" s="25">
        <f t="shared" si="0"/>
        <v>4</v>
      </c>
    </row>
    <row r="25" spans="1:16" ht="30" customHeight="1" x14ac:dyDescent="0.25">
      <c r="A25" s="127"/>
      <c r="B25" s="127"/>
      <c r="C25" s="25" t="s">
        <v>90</v>
      </c>
      <c r="D25" s="25" t="s">
        <v>8</v>
      </c>
      <c r="E25" s="50">
        <f>50*'INPUT-OUTPUT'!E22</f>
        <v>150</v>
      </c>
      <c r="F25" s="50">
        <f>VLOOKUP(C25,CREWS!$I$4:$N$112,6,0)</f>
        <v>18150</v>
      </c>
      <c r="G25" s="50">
        <f>CREWS!D37*10</f>
        <v>100</v>
      </c>
      <c r="H25" s="50">
        <f>ROUNDUP(E25/G25,0)</f>
        <v>2</v>
      </c>
      <c r="I25" s="50">
        <f>H25*F25</f>
        <v>36300</v>
      </c>
      <c r="J25" s="127"/>
      <c r="K25" s="25">
        <v>1</v>
      </c>
      <c r="L25" s="25">
        <v>1</v>
      </c>
      <c r="M25" s="25">
        <f t="shared" si="0"/>
        <v>1</v>
      </c>
    </row>
    <row r="26" spans="1:16" ht="30" customHeight="1" x14ac:dyDescent="0.25">
      <c r="A26" s="127"/>
      <c r="B26" s="127"/>
      <c r="C26" s="25" t="s">
        <v>91</v>
      </c>
      <c r="D26" s="25" t="s">
        <v>8</v>
      </c>
      <c r="E26" s="50">
        <f>50*'INPUT-OUTPUT'!E22</f>
        <v>150</v>
      </c>
      <c r="F26" s="50">
        <v>300</v>
      </c>
      <c r="G26" s="50"/>
      <c r="H26" s="50"/>
      <c r="I26" s="50">
        <f>E26*F26</f>
        <v>45000</v>
      </c>
      <c r="J26" s="127"/>
      <c r="K26" s="25"/>
      <c r="L26" s="25"/>
      <c r="M26" s="25"/>
    </row>
    <row r="27" spans="1:16" ht="30" customHeight="1" x14ac:dyDescent="0.25">
      <c r="A27" s="127">
        <v>8</v>
      </c>
      <c r="B27" s="127" t="s">
        <v>254</v>
      </c>
      <c r="C27" s="53" t="s">
        <v>170</v>
      </c>
      <c r="D27" s="25" t="s">
        <v>8</v>
      </c>
      <c r="E27" s="50">
        <f>'INPUT-OUTPUT'!E5*'INPUT-OUTPUT'!E6*('INPUT-OUTPUT'!E7/'INPUT-OUTPUT'!E6)</f>
        <v>60750</v>
      </c>
      <c r="F27" s="50">
        <f>VLOOKUP(C27,CREWS!$I$4:$N$112,6,0)</f>
        <v>13090</v>
      </c>
      <c r="G27" s="50">
        <f>2*137*5.91</f>
        <v>1619.3400000000001</v>
      </c>
      <c r="H27" s="50">
        <f>E27/G27</f>
        <v>37.515284004594463</v>
      </c>
      <c r="I27" s="50">
        <f>F27*H27</f>
        <v>491075.06762014155</v>
      </c>
      <c r="J27" s="55" t="s">
        <v>336</v>
      </c>
      <c r="K27" s="25">
        <v>1</v>
      </c>
      <c r="L27" s="25">
        <v>6</v>
      </c>
      <c r="M27" s="25">
        <f t="shared" si="0"/>
        <v>6</v>
      </c>
    </row>
    <row r="28" spans="1:16" ht="30" customHeight="1" x14ac:dyDescent="0.25">
      <c r="A28" s="127"/>
      <c r="B28" s="127"/>
      <c r="C28" s="53" t="s">
        <v>170</v>
      </c>
      <c r="D28" s="25" t="s">
        <v>8</v>
      </c>
      <c r="E28" s="50">
        <f>'INPUT-OUTPUT'!E5*'INPUT-OUTPUT'!E10+'INPUT-OUTPUT'!E5*'INPUT-OUTPUT'!E8*'INPUT-OUTPUT'!E9</f>
        <v>17070</v>
      </c>
      <c r="F28" s="50">
        <f>VLOOKUP(C28,CREWS!$I$4:$N$112,6,0)</f>
        <v>13090</v>
      </c>
      <c r="G28" s="50">
        <v>1250</v>
      </c>
      <c r="H28" s="50">
        <f>E28/G28</f>
        <v>13.656000000000001</v>
      </c>
      <c r="I28" s="50">
        <f>F28*H28</f>
        <v>178757.04</v>
      </c>
      <c r="J28" s="55" t="s">
        <v>253</v>
      </c>
      <c r="K28" s="25"/>
      <c r="L28" s="25"/>
      <c r="M28" s="25"/>
    </row>
    <row r="29" spans="1:16" ht="30" customHeight="1" x14ac:dyDescent="0.25">
      <c r="A29" s="127"/>
      <c r="B29" s="127"/>
      <c r="C29" s="53" t="s">
        <v>72</v>
      </c>
      <c r="D29" s="25" t="s">
        <v>4</v>
      </c>
      <c r="E29" s="50">
        <f>'INPUT-OUTPUT'!E5-1</f>
        <v>74</v>
      </c>
      <c r="F29" s="50">
        <f>CREWS!N51</f>
        <v>75630</v>
      </c>
      <c r="G29" s="50">
        <v>1</v>
      </c>
      <c r="H29" s="50">
        <v>3</v>
      </c>
      <c r="I29" s="50">
        <f>E29*F29*G29*H29</f>
        <v>16789860</v>
      </c>
      <c r="J29" s="55" t="s">
        <v>349</v>
      </c>
      <c r="K29" s="25"/>
      <c r="L29" s="25"/>
      <c r="M29" s="25"/>
    </row>
    <row r="30" spans="1:16" ht="30" customHeight="1" x14ac:dyDescent="0.25">
      <c r="A30" s="127">
        <v>8</v>
      </c>
      <c r="B30" s="127" t="s">
        <v>107</v>
      </c>
      <c r="C30" s="53" t="s">
        <v>111</v>
      </c>
      <c r="D30" s="25" t="s">
        <v>8</v>
      </c>
      <c r="E30" s="50">
        <f>SUM($E$27:$E$28)</f>
        <v>77820</v>
      </c>
      <c r="F30" s="50">
        <f>CREWS!D29</f>
        <v>175</v>
      </c>
      <c r="G30" s="50">
        <f>CREWS!D55/60</f>
        <v>13.603333333333333</v>
      </c>
      <c r="H30" s="50">
        <f>(E30/26)*G30</f>
        <v>40715.823076923072</v>
      </c>
      <c r="I30" s="50">
        <f>F30*H30</f>
        <v>7125269.038461538</v>
      </c>
      <c r="J30" s="55" t="s">
        <v>196</v>
      </c>
      <c r="K30" s="25"/>
      <c r="L30" s="25"/>
      <c r="M30" s="25"/>
    </row>
    <row r="31" spans="1:16" ht="30" customHeight="1" x14ac:dyDescent="0.25">
      <c r="A31" s="127"/>
      <c r="B31" s="127"/>
      <c r="C31" s="25" t="s">
        <v>91</v>
      </c>
      <c r="D31" s="25" t="s">
        <v>8</v>
      </c>
      <c r="E31" s="50">
        <f>SUM($E$27:$E$28)</f>
        <v>77820</v>
      </c>
      <c r="F31" s="50">
        <v>0</v>
      </c>
      <c r="G31" s="50"/>
      <c r="H31" s="50"/>
      <c r="I31" s="50">
        <f>E31*F31</f>
        <v>0</v>
      </c>
      <c r="J31" s="55" t="s">
        <v>225</v>
      </c>
      <c r="K31" s="25"/>
      <c r="L31" s="25"/>
      <c r="M31" s="25"/>
    </row>
    <row r="32" spans="1:16" ht="30" customHeight="1" x14ac:dyDescent="0.25">
      <c r="A32" s="25">
        <v>9</v>
      </c>
      <c r="B32" s="25" t="s">
        <v>104</v>
      </c>
      <c r="C32" s="25" t="s">
        <v>115</v>
      </c>
      <c r="D32" s="25" t="s">
        <v>96</v>
      </c>
      <c r="E32" s="50">
        <f>'INPUT-OUTPUT'!E40*6.5+20*15*'INPUT-OUTPUT'!E5</f>
        <v>25750</v>
      </c>
      <c r="F32" s="50">
        <f>VLOOKUP(C32,CREWS!$I$4:$N$112,6,0)</f>
        <v>6550</v>
      </c>
      <c r="G32" s="50">
        <v>150</v>
      </c>
      <c r="H32" s="50">
        <f>ROUNDUP(E32/G32/CREWS!D10,0)</f>
        <v>18</v>
      </c>
      <c r="I32" s="50">
        <f>H32*F32</f>
        <v>117900</v>
      </c>
      <c r="J32" s="25" t="s">
        <v>105</v>
      </c>
      <c r="K32" s="25"/>
      <c r="L32" s="25"/>
      <c r="M32" s="25"/>
    </row>
    <row r="33" spans="1:13" ht="28.9" customHeight="1" x14ac:dyDescent="0.25">
      <c r="A33" s="25">
        <v>10</v>
      </c>
      <c r="B33" s="25" t="s">
        <v>106</v>
      </c>
      <c r="C33" s="25"/>
      <c r="D33" s="25" t="s">
        <v>96</v>
      </c>
      <c r="E33" s="50">
        <f>E32</f>
        <v>25750</v>
      </c>
      <c r="F33" s="50">
        <v>3</v>
      </c>
      <c r="G33" s="50"/>
      <c r="H33" s="50"/>
      <c r="I33" s="50">
        <f>E33*F33</f>
        <v>77250</v>
      </c>
      <c r="J33" s="25"/>
      <c r="K33" s="25"/>
      <c r="L33" s="25"/>
      <c r="M33" s="25"/>
    </row>
    <row r="34" spans="1:13" ht="28.9" customHeight="1" x14ac:dyDescent="0.25">
      <c r="A34" s="127">
        <v>11</v>
      </c>
      <c r="B34" s="127" t="s">
        <v>179</v>
      </c>
      <c r="C34" s="25" t="s">
        <v>138</v>
      </c>
      <c r="D34" s="25" t="s">
        <v>140</v>
      </c>
      <c r="E34" s="50">
        <f>'INPUT-OUTPUT'!E24</f>
        <v>14</v>
      </c>
      <c r="F34" s="50">
        <f>15000</f>
        <v>15000</v>
      </c>
      <c r="G34" s="50"/>
      <c r="H34" s="50"/>
      <c r="I34" s="50">
        <f>E34*F34</f>
        <v>210000</v>
      </c>
      <c r="J34" s="25" t="s">
        <v>181</v>
      </c>
      <c r="K34" s="25"/>
      <c r="L34" s="25"/>
      <c r="M34" s="25"/>
    </row>
    <row r="35" spans="1:13" ht="28.9" customHeight="1" x14ac:dyDescent="0.25">
      <c r="A35" s="127"/>
      <c r="B35" s="127"/>
      <c r="C35" s="25" t="s">
        <v>139</v>
      </c>
      <c r="D35" s="25" t="s">
        <v>140</v>
      </c>
      <c r="E35" s="50">
        <f>'INPUT-OUTPUT'!E25</f>
        <v>53</v>
      </c>
      <c r="F35" s="50">
        <f>(10+10+8)*CREWS!D5</f>
        <v>2100</v>
      </c>
      <c r="G35" s="50"/>
      <c r="H35" s="50"/>
      <c r="I35" s="50">
        <f>E35*F35</f>
        <v>111300</v>
      </c>
      <c r="J35" s="55" t="s">
        <v>178</v>
      </c>
      <c r="K35" s="25"/>
      <c r="L35" s="25"/>
      <c r="M35" s="25"/>
    </row>
    <row r="36" spans="1:13" ht="28.9" customHeight="1" x14ac:dyDescent="0.25">
      <c r="A36" s="127"/>
      <c r="B36" s="127"/>
      <c r="C36" s="55" t="s">
        <v>337</v>
      </c>
      <c r="D36" s="25" t="s">
        <v>140</v>
      </c>
      <c r="E36" s="50">
        <f>IF(AND(CREWS!$G$44=1, CREWS!$H$44=1), 1, 0)</f>
        <v>1</v>
      </c>
      <c r="F36" s="50">
        <v>400000</v>
      </c>
      <c r="G36" s="50"/>
      <c r="H36" s="50">
        <v>2</v>
      </c>
      <c r="I36" s="50">
        <f>E36*F36*H36</f>
        <v>800000</v>
      </c>
      <c r="J36" s="25" t="s">
        <v>342</v>
      </c>
      <c r="K36" s="25"/>
      <c r="L36" s="25"/>
      <c r="M36" s="25"/>
    </row>
    <row r="37" spans="1:13" ht="28.9" customHeight="1" x14ac:dyDescent="0.25">
      <c r="A37" s="127"/>
      <c r="B37" s="127"/>
      <c r="C37" s="55" t="s">
        <v>338</v>
      </c>
      <c r="D37" s="25" t="s">
        <v>140</v>
      </c>
      <c r="E37" s="50">
        <f>IF(AND(CREWS!$G$45=1, CREWS!$H$45=1), 1, 0)</f>
        <v>0</v>
      </c>
      <c r="F37" s="50">
        <v>45000</v>
      </c>
      <c r="G37" s="50"/>
      <c r="H37" s="50">
        <v>2</v>
      </c>
      <c r="I37" s="50">
        <f t="shared" ref="I37:I38" si="1">E37*F37*H37</f>
        <v>0</v>
      </c>
      <c r="J37" s="25"/>
      <c r="K37" s="25"/>
      <c r="L37" s="25"/>
      <c r="M37" s="25"/>
    </row>
    <row r="38" spans="1:13" ht="28.9" customHeight="1" x14ac:dyDescent="0.25">
      <c r="A38" s="127"/>
      <c r="B38" s="127"/>
      <c r="C38" s="25" t="s">
        <v>63</v>
      </c>
      <c r="D38" s="25" t="s">
        <v>140</v>
      </c>
      <c r="E38" s="50">
        <v>2</v>
      </c>
      <c r="F38" s="50">
        <v>45000</v>
      </c>
      <c r="G38" s="50"/>
      <c r="H38" s="50">
        <v>2</v>
      </c>
      <c r="I38" s="50">
        <f t="shared" si="1"/>
        <v>180000</v>
      </c>
      <c r="J38" s="25" t="s">
        <v>341</v>
      </c>
      <c r="K38" s="25"/>
      <c r="L38" s="25"/>
      <c r="M38" s="25">
        <f>SUM(M5:M37)</f>
        <v>53</v>
      </c>
    </row>
    <row r="39" spans="1:13" ht="28.9" customHeight="1" x14ac:dyDescent="0.25">
      <c r="A39" s="56">
        <v>12</v>
      </c>
      <c r="B39" s="56" t="s">
        <v>219</v>
      </c>
      <c r="C39" s="56" t="s">
        <v>91</v>
      </c>
      <c r="D39" s="56" t="s">
        <v>8</v>
      </c>
      <c r="E39" s="57"/>
      <c r="F39" s="57">
        <v>300</v>
      </c>
      <c r="G39" s="57"/>
      <c r="H39" s="57"/>
      <c r="I39" s="57">
        <f>F39*E39</f>
        <v>0</v>
      </c>
    </row>
    <row r="40" spans="1:13" ht="24" customHeight="1" x14ac:dyDescent="0.25">
      <c r="A40" s="128" t="s">
        <v>124</v>
      </c>
      <c r="B40" s="128"/>
      <c r="C40" s="128"/>
      <c r="D40" s="128"/>
      <c r="E40" s="128"/>
      <c r="F40" s="128"/>
      <c r="G40" s="128"/>
      <c r="H40" s="128"/>
      <c r="I40" s="58">
        <f>SUM(I5:I38)</f>
        <v>60687066.146081679</v>
      </c>
    </row>
    <row r="43" spans="1:13" ht="18.75" x14ac:dyDescent="0.25">
      <c r="A43" s="59" t="s">
        <v>123</v>
      </c>
      <c r="B43" s="60"/>
      <c r="C43" s="60"/>
      <c r="D43" s="60"/>
      <c r="E43" s="60"/>
      <c r="I43" s="60"/>
      <c r="J43" s="62"/>
    </row>
    <row r="44" spans="1:13" x14ac:dyDescent="0.25">
      <c r="A44" s="47" t="s">
        <v>67</v>
      </c>
      <c r="B44" s="47" t="s">
        <v>0</v>
      </c>
      <c r="C44" s="47" t="s">
        <v>1</v>
      </c>
      <c r="D44" s="47" t="s">
        <v>2</v>
      </c>
      <c r="E44" s="63" t="s">
        <v>14</v>
      </c>
      <c r="I44" s="47" t="s">
        <v>116</v>
      </c>
      <c r="J44" s="47" t="s">
        <v>3</v>
      </c>
    </row>
    <row r="45" spans="1:13" x14ac:dyDescent="0.25">
      <c r="A45" s="25">
        <v>1</v>
      </c>
      <c r="B45" s="25" t="s">
        <v>117</v>
      </c>
      <c r="C45" s="25" t="s">
        <v>5</v>
      </c>
      <c r="D45" s="50">
        <f>CREWS!L103</f>
        <v>8400</v>
      </c>
      <c r="E45" s="64">
        <v>7.5</v>
      </c>
      <c r="I45" s="50">
        <f t="shared" ref="I45:I50" si="2">D45*E45</f>
        <v>63000</v>
      </c>
      <c r="J45" s="55" t="s">
        <v>358</v>
      </c>
    </row>
    <row r="46" spans="1:13" ht="36" x14ac:dyDescent="0.25">
      <c r="A46" s="25">
        <v>2</v>
      </c>
      <c r="B46" s="25" t="s">
        <v>118</v>
      </c>
      <c r="C46" s="25" t="s">
        <v>119</v>
      </c>
      <c r="D46" s="50">
        <f>'INPUT-OUTPUT'!$E$43</f>
        <v>45</v>
      </c>
      <c r="E46" s="50">
        <v>1500</v>
      </c>
      <c r="I46" s="50">
        <f t="shared" si="2"/>
        <v>67500</v>
      </c>
      <c r="J46" s="55" t="s">
        <v>359</v>
      </c>
    </row>
    <row r="47" spans="1:13" x14ac:dyDescent="0.25">
      <c r="A47" s="25">
        <v>3</v>
      </c>
      <c r="B47" s="25" t="s">
        <v>180</v>
      </c>
      <c r="C47" s="25" t="s">
        <v>120</v>
      </c>
      <c r="D47" s="50">
        <v>1</v>
      </c>
      <c r="E47" s="50">
        <v>200000</v>
      </c>
      <c r="I47" s="50">
        <f t="shared" si="2"/>
        <v>200000</v>
      </c>
      <c r="J47" s="25" t="s">
        <v>360</v>
      </c>
    </row>
    <row r="48" spans="1:13" x14ac:dyDescent="0.25">
      <c r="A48" s="25">
        <v>3</v>
      </c>
      <c r="B48" s="25" t="s">
        <v>155</v>
      </c>
      <c r="C48" s="25" t="s">
        <v>120</v>
      </c>
      <c r="D48" s="64">
        <v>0.33</v>
      </c>
      <c r="E48" s="50">
        <f>E47</f>
        <v>200000</v>
      </c>
      <c r="I48" s="50">
        <f t="shared" si="2"/>
        <v>66000</v>
      </c>
      <c r="J48" s="25" t="s">
        <v>361</v>
      </c>
    </row>
    <row r="49" spans="1:21" x14ac:dyDescent="0.25">
      <c r="A49" s="25">
        <v>3</v>
      </c>
      <c r="B49" s="25" t="s">
        <v>156</v>
      </c>
      <c r="C49" s="25" t="s">
        <v>119</v>
      </c>
      <c r="D49" s="50">
        <f>'INPUT-OUTPUT'!$E$43</f>
        <v>45</v>
      </c>
      <c r="E49" s="50">
        <v>15000</v>
      </c>
      <c r="I49" s="50">
        <f t="shared" si="2"/>
        <v>675000</v>
      </c>
      <c r="J49" s="25" t="s">
        <v>362</v>
      </c>
    </row>
    <row r="50" spans="1:21" x14ac:dyDescent="0.25">
      <c r="A50" s="25">
        <v>4</v>
      </c>
      <c r="B50" s="25" t="s">
        <v>121</v>
      </c>
      <c r="C50" s="25" t="s">
        <v>120</v>
      </c>
      <c r="D50" s="65">
        <v>5.0000000000000001E-3</v>
      </c>
      <c r="E50" s="50">
        <f>ESTIMATE!I40+SUM(I45:I49)</f>
        <v>61758566.146081679</v>
      </c>
      <c r="I50" s="50">
        <f t="shared" si="2"/>
        <v>308792.83073040837</v>
      </c>
      <c r="J50" s="66" t="s">
        <v>182</v>
      </c>
    </row>
    <row r="51" spans="1:21" x14ac:dyDescent="0.25">
      <c r="A51" s="126" t="s">
        <v>125</v>
      </c>
      <c r="B51" s="126"/>
      <c r="C51" s="126"/>
      <c r="D51" s="126"/>
      <c r="E51" s="126"/>
      <c r="I51" s="67">
        <f>SUM(I45:I50)</f>
        <v>1380292.8307304084</v>
      </c>
    </row>
    <row r="53" spans="1:21" x14ac:dyDescent="0.25">
      <c r="H53" s="13" t="s">
        <v>157</v>
      </c>
      <c r="I53" s="68">
        <f>I51+I40</f>
        <v>62067358.976812087</v>
      </c>
    </row>
    <row r="54" spans="1:21" x14ac:dyDescent="0.25">
      <c r="H54" s="69" t="s">
        <v>158</v>
      </c>
      <c r="I54" s="68">
        <f>'INPUT-OUTPUT'!E46*(I53)</f>
        <v>21723575.64188423</v>
      </c>
    </row>
    <row r="55" spans="1:21" x14ac:dyDescent="0.25">
      <c r="I55" s="70">
        <f>+I54+I53</f>
        <v>83790934.618696317</v>
      </c>
    </row>
    <row r="56" spans="1:21" x14ac:dyDescent="0.25">
      <c r="H56" s="69" t="s">
        <v>159</v>
      </c>
      <c r="I56" s="68">
        <f>I55*'INPUT-OUTPUT'!E47</f>
        <v>20947733.654674079</v>
      </c>
    </row>
    <row r="57" spans="1:21" x14ac:dyDescent="0.25">
      <c r="I57" s="70">
        <f>+I56+I55</f>
        <v>104738668.2733704</v>
      </c>
    </row>
    <row r="59" spans="1:21" x14ac:dyDescent="0.25">
      <c r="H59" s="71" t="s">
        <v>188</v>
      </c>
      <c r="I59" s="72">
        <f>I57/'INPUT-OUTPUT'!E5</f>
        <v>1396515.5769782721</v>
      </c>
    </row>
    <row r="60" spans="1:21" ht="18.75" thickBot="1" x14ac:dyDescent="0.3"/>
    <row r="61" spans="1:21" ht="38.25" thickBot="1" x14ac:dyDescent="0.3">
      <c r="B61" s="47" t="s">
        <v>183</v>
      </c>
      <c r="C61" s="25"/>
      <c r="D61" s="47" t="s">
        <v>1</v>
      </c>
      <c r="E61" s="47" t="s">
        <v>2</v>
      </c>
      <c r="F61" s="63" t="s">
        <v>14</v>
      </c>
      <c r="H61" s="63" t="s">
        <v>224</v>
      </c>
      <c r="I61" s="47" t="s">
        <v>116</v>
      </c>
      <c r="P61" s="73" t="s">
        <v>203</v>
      </c>
      <c r="Q61" s="74" t="s">
        <v>204</v>
      </c>
      <c r="R61" s="74" t="s">
        <v>375</v>
      </c>
      <c r="S61" s="74" t="s">
        <v>205</v>
      </c>
      <c r="T61" s="74" t="s">
        <v>376</v>
      </c>
      <c r="U61" s="74" t="s">
        <v>206</v>
      </c>
    </row>
    <row r="62" spans="1:21" ht="19.5" thickTop="1" thickBot="1" x14ac:dyDescent="0.3">
      <c r="B62" s="25" t="s">
        <v>186</v>
      </c>
      <c r="C62" s="25" t="s">
        <v>197</v>
      </c>
      <c r="D62" s="25" t="s">
        <v>8</v>
      </c>
      <c r="E62" s="75">
        <f>E7*'INPUT-OUTPUT'!E17/1000+('INPUT-OUTPUT'!E30/100)*$E$30</f>
        <v>1067.7320999999999</v>
      </c>
      <c r="F62" s="50">
        <f>T64</f>
        <v>5000</v>
      </c>
      <c r="H62" s="50">
        <f>IF('INPUT-OUTPUT'!$B$52="Yes", 1,0)</f>
        <v>1</v>
      </c>
      <c r="I62" s="76">
        <f>F62*E62*H62</f>
        <v>5338660.5</v>
      </c>
      <c r="P62" s="77" t="s">
        <v>207</v>
      </c>
      <c r="Q62" s="106">
        <f>'INPUT-OUTPUT'!E26/100</f>
        <v>0.88</v>
      </c>
      <c r="R62" s="106" t="s">
        <v>208</v>
      </c>
      <c r="S62" s="78">
        <v>0.98</v>
      </c>
      <c r="T62" s="108">
        <f>'INPUT-OUTPUT'!E27</f>
        <v>100</v>
      </c>
      <c r="U62" s="79">
        <v>0.86199999999999999</v>
      </c>
    </row>
    <row r="63" spans="1:21" ht="18.75" thickBot="1" x14ac:dyDescent="0.3">
      <c r="B63" s="25" t="s">
        <v>220</v>
      </c>
      <c r="C63" s="25"/>
      <c r="D63" s="25" t="s">
        <v>8</v>
      </c>
      <c r="E63" s="50">
        <f>(E14+E27+('INPUT-OUTPUT'!E26/100)*$E$30)*'INPUT-OUTPUT'!L7</f>
        <v>130386.6</v>
      </c>
      <c r="F63" s="50">
        <f>T62</f>
        <v>100</v>
      </c>
      <c r="H63" s="50">
        <f>IF('INPUT-OUTPUT'!$B$52="Yes", 1,0)</f>
        <v>1</v>
      </c>
      <c r="I63" s="76">
        <f t="shared" ref="I63:I69" si="3">F63*E63*H63</f>
        <v>13038660</v>
      </c>
      <c r="P63" s="80" t="s">
        <v>209</v>
      </c>
      <c r="Q63" s="106">
        <f>'INPUT-OUTPUT'!E28/100</f>
        <v>0.01</v>
      </c>
      <c r="R63" s="106" t="s">
        <v>208</v>
      </c>
      <c r="S63" s="81">
        <v>0.98</v>
      </c>
      <c r="T63" s="108">
        <f>'INPUT-OUTPUT'!E29</f>
        <v>1000</v>
      </c>
      <c r="U63" s="82">
        <v>0.01</v>
      </c>
    </row>
    <row r="64" spans="1:21" ht="18.75" thickBot="1" x14ac:dyDescent="0.3">
      <c r="B64" s="25" t="s">
        <v>187</v>
      </c>
      <c r="C64" s="25"/>
      <c r="D64" s="25" t="s">
        <v>8</v>
      </c>
      <c r="E64" s="25">
        <f>('INPUT-OUTPUT'!E28/100)*$E$30*'INPUT-OUTPUT'!L8</f>
        <v>778.2</v>
      </c>
      <c r="F64" s="50">
        <f>T63</f>
        <v>1000</v>
      </c>
      <c r="H64" s="50">
        <f>IF('INPUT-OUTPUT'!$B$52="Yes", 1,0)</f>
        <v>1</v>
      </c>
      <c r="I64" s="76">
        <f t="shared" si="3"/>
        <v>778200</v>
      </c>
      <c r="P64" s="77" t="s">
        <v>210</v>
      </c>
      <c r="Q64" s="106">
        <f>'INPUT-OUTPUT'!E30/100</f>
        <v>6.0000000000000001E-3</v>
      </c>
      <c r="R64" s="106" t="s">
        <v>208</v>
      </c>
      <c r="S64" s="78">
        <v>0.98</v>
      </c>
      <c r="T64" s="108">
        <f>'INPUT-OUTPUT'!E31</f>
        <v>5000</v>
      </c>
      <c r="U64" s="79">
        <v>6.0000000000000001E-3</v>
      </c>
    </row>
    <row r="65" spans="2:21" ht="18.75" thickBot="1" x14ac:dyDescent="0.3">
      <c r="B65" s="25" t="s">
        <v>160</v>
      </c>
      <c r="C65" s="25" t="s">
        <v>221</v>
      </c>
      <c r="D65" s="25" t="s">
        <v>8</v>
      </c>
      <c r="E65" s="50">
        <f>E6/1000*0.7*'INPUT-OUTPUT'!L13</f>
        <v>2394</v>
      </c>
      <c r="F65" s="50">
        <v>0</v>
      </c>
      <c r="H65" s="50">
        <f>IF('INPUT-OUTPUT'!$B$52="Yes", 1,0)</f>
        <v>1</v>
      </c>
      <c r="I65" s="76">
        <f t="shared" si="3"/>
        <v>0</v>
      </c>
      <c r="P65" s="80" t="s">
        <v>211</v>
      </c>
      <c r="Q65" s="107">
        <f>'INPUT-OUTPUT'!E32/100</f>
        <v>0.04</v>
      </c>
      <c r="R65" s="107" t="s">
        <v>212</v>
      </c>
      <c r="S65" s="83" t="s">
        <v>213</v>
      </c>
      <c r="T65" s="108">
        <f>'INPUT-OUTPUT'!E33</f>
        <v>100</v>
      </c>
      <c r="U65" s="83" t="s">
        <v>213</v>
      </c>
    </row>
    <row r="66" spans="2:21" ht="18.75" thickBot="1" x14ac:dyDescent="0.3">
      <c r="B66" s="25" t="s">
        <v>222</v>
      </c>
      <c r="C66" s="25" t="s">
        <v>223</v>
      </c>
      <c r="D66" s="25" t="s">
        <v>8</v>
      </c>
      <c r="E66" s="50">
        <f>(E13+E25)*'INPUT-OUTPUT'!L14</f>
        <v>11775</v>
      </c>
      <c r="F66" s="50">
        <v>20</v>
      </c>
      <c r="H66" s="50">
        <f>IF('INPUT-OUTPUT'!$B$52="Yes", 1,0)</f>
        <v>1</v>
      </c>
      <c r="I66" s="76">
        <f t="shared" si="3"/>
        <v>235500</v>
      </c>
      <c r="P66" s="77" t="s">
        <v>214</v>
      </c>
      <c r="Q66" s="107">
        <f>'INPUT-OUTPUT'!E34/100</f>
        <v>0.05</v>
      </c>
      <c r="R66" s="107" t="s">
        <v>212</v>
      </c>
      <c r="S66" s="84" t="s">
        <v>213</v>
      </c>
      <c r="T66" s="108">
        <f>'INPUT-OUTPUT'!E35</f>
        <v>30</v>
      </c>
      <c r="U66" s="84" t="s">
        <v>213</v>
      </c>
    </row>
    <row r="67" spans="2:21" ht="18.75" thickBot="1" x14ac:dyDescent="0.3">
      <c r="B67" s="25" t="s">
        <v>184</v>
      </c>
      <c r="C67" s="25" t="s">
        <v>212</v>
      </c>
      <c r="D67" s="25" t="s">
        <v>8</v>
      </c>
      <c r="E67" s="50">
        <f>('INPUT-OUTPUT'!E32/100)*$E$30*'INPUT-OUTPUT'!L10</f>
        <v>3112.8</v>
      </c>
      <c r="F67" s="50">
        <f>'INPUT-OUTPUT'!E33</f>
        <v>100</v>
      </c>
      <c r="H67" s="50">
        <f>IF('INPUT-OUTPUT'!$B$52="Yes", 1,0)</f>
        <v>1</v>
      </c>
      <c r="I67" s="76">
        <f t="shared" si="3"/>
        <v>311280</v>
      </c>
      <c r="P67" s="80" t="s">
        <v>215</v>
      </c>
      <c r="Q67" s="107">
        <f>'INPUT-OUTPUT'!E36/100</f>
        <v>6.0000000000000001E-3</v>
      </c>
      <c r="R67" s="107" t="s">
        <v>212</v>
      </c>
      <c r="S67" s="83" t="s">
        <v>213</v>
      </c>
      <c r="T67" s="108">
        <f>'INPUT-OUTPUT'!E37</f>
        <v>30</v>
      </c>
      <c r="U67" s="83" t="s">
        <v>213</v>
      </c>
    </row>
    <row r="68" spans="2:21" ht="18.75" thickBot="1" x14ac:dyDescent="0.3">
      <c r="B68" s="25" t="s">
        <v>185</v>
      </c>
      <c r="C68" s="25" t="s">
        <v>212</v>
      </c>
      <c r="D68" s="25" t="s">
        <v>8</v>
      </c>
      <c r="E68" s="50">
        <f>('INPUT-OUTPUT'!E36/100)*$E$30*'INPUT-OUTPUT'!L12</f>
        <v>466.92</v>
      </c>
      <c r="F68" s="50">
        <f>'INPUT-OUTPUT'!E37</f>
        <v>30</v>
      </c>
      <c r="H68" s="50">
        <f>IF('INPUT-OUTPUT'!$B$52="Yes", 1,0)</f>
        <v>1</v>
      </c>
      <c r="I68" s="76">
        <f t="shared" si="3"/>
        <v>14007.6</v>
      </c>
      <c r="P68" s="77" t="s">
        <v>216</v>
      </c>
      <c r="Q68" s="107">
        <f>'INPUT-OUTPUT'!E38/100</f>
        <v>6.0000000000000001E-3</v>
      </c>
      <c r="R68" s="107" t="s">
        <v>212</v>
      </c>
      <c r="S68" s="84" t="s">
        <v>213</v>
      </c>
      <c r="T68" s="108">
        <f>'INPUT-OUTPUT'!E39</f>
        <v>0</v>
      </c>
      <c r="U68" s="84" t="s">
        <v>213</v>
      </c>
    </row>
    <row r="69" spans="2:21" ht="18.75" thickBot="1" x14ac:dyDescent="0.3">
      <c r="B69" s="25" t="s">
        <v>195</v>
      </c>
      <c r="C69" s="25" t="s">
        <v>212</v>
      </c>
      <c r="D69" s="25" t="s">
        <v>8</v>
      </c>
      <c r="E69" s="50">
        <f>('INPUT-OUTPUT'!E34/100)*$E$30*'INPUT-OUTPUT'!L11</f>
        <v>3891</v>
      </c>
      <c r="F69" s="50">
        <f>'INPUT-OUTPUT'!E35</f>
        <v>30</v>
      </c>
      <c r="H69" s="50">
        <f>IF('INPUT-OUTPUT'!$B$52="Yes", 1,0)</f>
        <v>1</v>
      </c>
      <c r="I69" s="76">
        <f t="shared" si="3"/>
        <v>116730</v>
      </c>
      <c r="P69" s="80" t="s">
        <v>345</v>
      </c>
      <c r="Q69" s="107">
        <f>1-SUM(Q62:Q68)</f>
        <v>1.9999999999998908E-3</v>
      </c>
      <c r="R69" s="107" t="s">
        <v>212</v>
      </c>
      <c r="S69" s="83" t="s">
        <v>213</v>
      </c>
      <c r="T69" s="108" t="s">
        <v>213</v>
      </c>
      <c r="U69" s="83" t="s">
        <v>213</v>
      </c>
    </row>
    <row r="70" spans="2:21" ht="18.75" thickBot="1" x14ac:dyDescent="0.3">
      <c r="B70" s="85" t="s">
        <v>377</v>
      </c>
      <c r="P70" s="77" t="s">
        <v>217</v>
      </c>
      <c r="Q70" s="78">
        <v>1</v>
      </c>
      <c r="R70" s="86"/>
      <c r="S70" s="86"/>
      <c r="T70" s="107"/>
      <c r="U70" s="79">
        <v>0.878</v>
      </c>
    </row>
    <row r="71" spans="2:21" x14ac:dyDescent="0.25">
      <c r="B71" s="85" t="s">
        <v>218</v>
      </c>
      <c r="H71" s="13" t="s">
        <v>162</v>
      </c>
      <c r="I71" s="67">
        <f>SUM(I62:I70)</f>
        <v>19833038.100000001</v>
      </c>
      <c r="P71" s="85" t="s">
        <v>377</v>
      </c>
    </row>
    <row r="72" spans="2:21" x14ac:dyDescent="0.25">
      <c r="B72" s="85" t="s">
        <v>378</v>
      </c>
      <c r="P72" s="85" t="s">
        <v>218</v>
      </c>
    </row>
    <row r="73" spans="2:21" x14ac:dyDescent="0.25">
      <c r="P73" s="85" t="s">
        <v>378</v>
      </c>
    </row>
    <row r="74" spans="2:21" x14ac:dyDescent="0.25">
      <c r="H74" s="39" t="s">
        <v>161</v>
      </c>
      <c r="I74" s="87">
        <f>I57-I71</f>
        <v>84905630.173370391</v>
      </c>
    </row>
    <row r="75" spans="2:21" x14ac:dyDescent="0.25">
      <c r="H75" s="71" t="s">
        <v>163</v>
      </c>
      <c r="I75" s="87">
        <f>I74/'INPUT-OUTPUT'!E5</f>
        <v>1132075.0689782719</v>
      </c>
    </row>
  </sheetData>
  <sheetProtection algorithmName="SHA-512" hashValue="AxoKph2o00fcKRNOHmeuW8wiD98e06WQiGdaqnt00Pg0AwrxW9tMQstBGKCPyOKrQWxMN4RYj6KqIN+WAnf8kA==" saltValue="tXUFNzcvinbAtUSQ0XLmFQ==" spinCount="100000" sheet="1" selectLockedCells="1"/>
  <mergeCells count="21">
    <mergeCell ref="P6:P22"/>
    <mergeCell ref="A24:A26"/>
    <mergeCell ref="B24:B26"/>
    <mergeCell ref="J24:J26"/>
    <mergeCell ref="B8:B10"/>
    <mergeCell ref="A8:A10"/>
    <mergeCell ref="A11:A15"/>
    <mergeCell ref="B11:B15"/>
    <mergeCell ref="A16:A20"/>
    <mergeCell ref="B16:B20"/>
    <mergeCell ref="A21:A23"/>
    <mergeCell ref="B21:B23"/>
    <mergeCell ref="A3:M3"/>
    <mergeCell ref="A51:E51"/>
    <mergeCell ref="A27:A29"/>
    <mergeCell ref="B27:B29"/>
    <mergeCell ref="B30:B31"/>
    <mergeCell ref="A30:A31"/>
    <mergeCell ref="A40:H40"/>
    <mergeCell ref="B34:B38"/>
    <mergeCell ref="A34:A3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C2167-7BF5-4ACE-AA55-914100ED741E}">
  <dimension ref="B2:P105"/>
  <sheetViews>
    <sheetView zoomScale="85" zoomScaleNormal="85" workbookViewId="0">
      <selection activeCell="D4" sqref="D4"/>
    </sheetView>
  </sheetViews>
  <sheetFormatPr defaultColWidth="8.85546875" defaultRowHeight="18" outlineLevelCol="1" x14ac:dyDescent="0.25"/>
  <cols>
    <col min="1" max="1" width="8.85546875" style="13"/>
    <col min="2" max="2" width="21.140625" style="13" bestFit="1" customWidth="1"/>
    <col min="3" max="3" width="8.85546875" style="13"/>
    <col min="4" max="4" width="9.5703125" style="13" bestFit="1" customWidth="1"/>
    <col min="5" max="5" width="21.140625" style="13" bestFit="1" customWidth="1"/>
    <col min="6" max="6" width="8.85546875" style="13"/>
    <col min="7" max="8" width="8.85546875" style="13" customWidth="1" outlineLevel="1"/>
    <col min="9" max="9" width="29.140625" style="13" customWidth="1" outlineLevel="1"/>
    <col min="10" max="10" width="21.140625" style="13" customWidth="1" outlineLevel="1"/>
    <col min="11" max="13" width="8.85546875" style="13" customWidth="1" outlineLevel="1"/>
    <col min="14" max="14" width="18.85546875" style="61" customWidth="1" outlineLevel="1"/>
    <col min="15" max="15" width="93.140625" style="13" customWidth="1" outlineLevel="1"/>
    <col min="16" max="16" width="8.85546875" style="13" customWidth="1" outlineLevel="1"/>
    <col min="17" max="16384" width="8.85546875" style="13"/>
  </cols>
  <sheetData>
    <row r="2" spans="2:15" ht="27" customHeight="1" x14ac:dyDescent="0.25">
      <c r="B2" s="131" t="s">
        <v>24</v>
      </c>
      <c r="C2" s="132"/>
      <c r="D2" s="132"/>
      <c r="E2" s="133"/>
      <c r="I2" s="131" t="s">
        <v>32</v>
      </c>
      <c r="J2" s="132"/>
      <c r="K2" s="132"/>
      <c r="L2" s="132"/>
      <c r="M2" s="132"/>
      <c r="N2" s="132"/>
      <c r="O2" s="133"/>
    </row>
    <row r="3" spans="2:15" ht="35.450000000000003" customHeight="1" x14ac:dyDescent="0.25">
      <c r="B3" s="25" t="s">
        <v>0</v>
      </c>
      <c r="C3" s="25" t="s">
        <v>1</v>
      </c>
      <c r="D3" s="25" t="s">
        <v>14</v>
      </c>
      <c r="E3" s="25" t="s">
        <v>3</v>
      </c>
      <c r="I3" s="88" t="s">
        <v>0</v>
      </c>
      <c r="J3" s="88" t="s">
        <v>28</v>
      </c>
      <c r="K3" s="88" t="s">
        <v>1</v>
      </c>
      <c r="L3" s="88" t="s">
        <v>25</v>
      </c>
      <c r="M3" s="88" t="s">
        <v>14</v>
      </c>
      <c r="N3" s="89" t="s">
        <v>29</v>
      </c>
      <c r="O3" s="89" t="s">
        <v>3</v>
      </c>
    </row>
    <row r="4" spans="2:15" x14ac:dyDescent="0.25">
      <c r="B4" s="25" t="s">
        <v>15</v>
      </c>
      <c r="C4" s="127" t="s">
        <v>23</v>
      </c>
      <c r="D4" s="90">
        <v>65</v>
      </c>
      <c r="E4" s="26" t="s">
        <v>16</v>
      </c>
      <c r="I4" s="25" t="s">
        <v>30</v>
      </c>
      <c r="J4" s="25" t="s">
        <v>17</v>
      </c>
      <c r="K4" s="25" t="s">
        <v>27</v>
      </c>
      <c r="L4" s="25">
        <f>$D$10*2</f>
        <v>20</v>
      </c>
      <c r="M4" s="25">
        <f>VLOOKUP(J4,$B$4:$E$8,3,0)</f>
        <v>82</v>
      </c>
      <c r="N4" s="91">
        <f>L4*M4</f>
        <v>1640</v>
      </c>
      <c r="O4" s="25" t="s">
        <v>129</v>
      </c>
    </row>
    <row r="5" spans="2:15" x14ac:dyDescent="0.25">
      <c r="B5" s="25" t="s">
        <v>21</v>
      </c>
      <c r="C5" s="127"/>
      <c r="D5" s="90">
        <v>75</v>
      </c>
      <c r="E5" s="26" t="s">
        <v>22</v>
      </c>
      <c r="I5" s="92" t="s">
        <v>31</v>
      </c>
      <c r="J5" s="25"/>
      <c r="K5" s="25"/>
      <c r="L5" s="25"/>
      <c r="M5" s="25"/>
      <c r="N5" s="93">
        <f>N4</f>
        <v>1640</v>
      </c>
      <c r="O5" s="25"/>
    </row>
    <row r="6" spans="2:15" x14ac:dyDescent="0.25">
      <c r="B6" s="25" t="s">
        <v>17</v>
      </c>
      <c r="C6" s="127"/>
      <c r="D6" s="90">
        <v>82</v>
      </c>
      <c r="E6" s="26" t="s">
        <v>18</v>
      </c>
      <c r="I6" s="94"/>
      <c r="J6" s="94"/>
      <c r="K6" s="94"/>
      <c r="L6" s="94"/>
      <c r="M6" s="94"/>
      <c r="N6" s="95"/>
      <c r="O6" s="94"/>
    </row>
    <row r="7" spans="2:15" x14ac:dyDescent="0.25">
      <c r="B7" s="25" t="s">
        <v>19</v>
      </c>
      <c r="C7" s="127"/>
      <c r="D7" s="90">
        <v>86</v>
      </c>
      <c r="E7" s="26" t="s">
        <v>20</v>
      </c>
      <c r="I7" s="25" t="s">
        <v>130</v>
      </c>
      <c r="J7" s="25" t="s">
        <v>34</v>
      </c>
      <c r="K7" s="25" t="s">
        <v>27</v>
      </c>
      <c r="L7" s="25">
        <f>$D$10</f>
        <v>10</v>
      </c>
      <c r="M7" s="25">
        <f>VLOOKUP(J7,$B$4:$E$8,3,0)</f>
        <v>110</v>
      </c>
      <c r="N7" s="91">
        <f>L7*M7</f>
        <v>1100</v>
      </c>
      <c r="O7" s="25"/>
    </row>
    <row r="8" spans="2:15" x14ac:dyDescent="0.25">
      <c r="B8" s="25" t="s">
        <v>34</v>
      </c>
      <c r="C8" s="127"/>
      <c r="D8" s="90">
        <v>110</v>
      </c>
      <c r="E8" s="26" t="s">
        <v>34</v>
      </c>
      <c r="I8" s="25" t="s">
        <v>22</v>
      </c>
      <c r="J8" s="25" t="s">
        <v>21</v>
      </c>
      <c r="K8" s="25" t="s">
        <v>27</v>
      </c>
      <c r="L8" s="25">
        <f>$D$10*4</f>
        <v>40</v>
      </c>
      <c r="M8" s="25">
        <f>VLOOKUP(J8,$B$4:$E$8,3,0)</f>
        <v>75</v>
      </c>
      <c r="N8" s="91">
        <f>L8*M8</f>
        <v>3000</v>
      </c>
      <c r="O8" s="25" t="s">
        <v>152</v>
      </c>
    </row>
    <row r="9" spans="2:15" x14ac:dyDescent="0.25">
      <c r="I9" s="25" t="s">
        <v>43</v>
      </c>
      <c r="J9" s="25" t="s">
        <v>15</v>
      </c>
      <c r="K9" s="25" t="s">
        <v>27</v>
      </c>
      <c r="L9" s="25">
        <f>$D$10*2</f>
        <v>20</v>
      </c>
      <c r="M9" s="25">
        <f>VLOOKUP(J9,$B$4:$E$8,3,0)</f>
        <v>65</v>
      </c>
      <c r="N9" s="91">
        <f>L9*M9</f>
        <v>1300</v>
      </c>
      <c r="O9" s="25" t="s">
        <v>129</v>
      </c>
    </row>
    <row r="10" spans="2:15" x14ac:dyDescent="0.25">
      <c r="B10" s="13" t="s">
        <v>26</v>
      </c>
      <c r="C10" s="13" t="s">
        <v>27</v>
      </c>
      <c r="D10" s="13">
        <v>10</v>
      </c>
      <c r="I10" s="25" t="s">
        <v>46</v>
      </c>
      <c r="J10" s="25" t="s">
        <v>35</v>
      </c>
      <c r="K10" s="25" t="s">
        <v>27</v>
      </c>
      <c r="L10" s="25">
        <f>$D$10*3</f>
        <v>30</v>
      </c>
      <c r="M10" s="25">
        <f>VLOOKUP(J10,$B$15:$E$32,3,0)</f>
        <v>15</v>
      </c>
      <c r="N10" s="91">
        <f>L10*M10</f>
        <v>450</v>
      </c>
      <c r="O10" s="25"/>
    </row>
    <row r="11" spans="2:15" x14ac:dyDescent="0.25">
      <c r="I11" s="92" t="s">
        <v>131</v>
      </c>
      <c r="J11" s="25"/>
      <c r="K11" s="25"/>
      <c r="L11" s="25"/>
      <c r="M11" s="25"/>
      <c r="N11" s="93">
        <f>SUM(N7:N10)</f>
        <v>5850</v>
      </c>
      <c r="O11" s="25"/>
    </row>
    <row r="12" spans="2:15" x14ac:dyDescent="0.25">
      <c r="I12" s="94"/>
      <c r="J12" s="94"/>
      <c r="K12" s="94"/>
      <c r="L12" s="94"/>
      <c r="M12" s="94"/>
      <c r="N12" s="95"/>
      <c r="O12" s="94"/>
    </row>
    <row r="13" spans="2:15" ht="18.75" x14ac:dyDescent="0.25">
      <c r="B13" s="135" t="s">
        <v>36</v>
      </c>
      <c r="C13" s="135"/>
      <c r="D13" s="135"/>
      <c r="E13" s="135"/>
      <c r="I13" s="25" t="s">
        <v>40</v>
      </c>
      <c r="J13" s="25" t="s">
        <v>37</v>
      </c>
      <c r="K13" s="25" t="s">
        <v>27</v>
      </c>
      <c r="L13" s="25">
        <f>$D$10*1</f>
        <v>10</v>
      </c>
      <c r="M13" s="25">
        <f>VLOOKUP(J13,$B$15:$E$32,3,0)</f>
        <v>175</v>
      </c>
      <c r="N13" s="91">
        <f t="shared" ref="N13:N17" si="0">L13*M13</f>
        <v>1750</v>
      </c>
      <c r="O13" s="25"/>
    </row>
    <row r="14" spans="2:15" ht="19.899999999999999" customHeight="1" x14ac:dyDescent="0.25">
      <c r="B14" s="25" t="s">
        <v>0</v>
      </c>
      <c r="C14" s="25" t="s">
        <v>1</v>
      </c>
      <c r="D14" s="25" t="s">
        <v>14</v>
      </c>
      <c r="E14" s="25" t="s">
        <v>3</v>
      </c>
      <c r="I14" s="25" t="s">
        <v>42</v>
      </c>
      <c r="J14" s="25" t="s">
        <v>53</v>
      </c>
      <c r="K14" s="25" t="s">
        <v>27</v>
      </c>
      <c r="L14" s="25">
        <f>$D$10*1</f>
        <v>10</v>
      </c>
      <c r="M14" s="25">
        <f>VLOOKUP(J14,$B$15:$E$32,3,0)/$D$10</f>
        <v>20</v>
      </c>
      <c r="N14" s="91">
        <f t="shared" si="0"/>
        <v>200</v>
      </c>
      <c r="O14" s="25"/>
    </row>
    <row r="15" spans="2:15" x14ac:dyDescent="0.25">
      <c r="B15" s="25" t="s">
        <v>37</v>
      </c>
      <c r="C15" s="25" t="s">
        <v>27</v>
      </c>
      <c r="D15" s="26">
        <v>175</v>
      </c>
      <c r="E15" s="26"/>
      <c r="I15" s="25" t="s">
        <v>44</v>
      </c>
      <c r="J15" s="25" t="s">
        <v>39</v>
      </c>
      <c r="K15" s="25" t="s">
        <v>27</v>
      </c>
      <c r="L15" s="25">
        <f>$D$10*2</f>
        <v>20</v>
      </c>
      <c r="M15" s="25">
        <f>VLOOKUP(J15,$B$15:$E$32,3,0)</f>
        <v>150</v>
      </c>
      <c r="N15" s="91">
        <f t="shared" si="0"/>
        <v>3000</v>
      </c>
      <c r="O15" s="25" t="s">
        <v>45</v>
      </c>
    </row>
    <row r="16" spans="2:15" x14ac:dyDescent="0.25">
      <c r="B16" s="25" t="s">
        <v>54</v>
      </c>
      <c r="C16" s="25" t="s">
        <v>27</v>
      </c>
      <c r="D16" s="26">
        <v>160</v>
      </c>
      <c r="E16" s="26"/>
      <c r="I16" s="25" t="s">
        <v>43</v>
      </c>
      <c r="J16" s="25" t="s">
        <v>15</v>
      </c>
      <c r="K16" s="25" t="s">
        <v>27</v>
      </c>
      <c r="L16" s="25">
        <f>$D$10*2</f>
        <v>20</v>
      </c>
      <c r="M16" s="25">
        <f>VLOOKUP(J16,$B$4:$E$8,3,0)</f>
        <v>65</v>
      </c>
      <c r="N16" s="91">
        <f t="shared" si="0"/>
        <v>1300</v>
      </c>
      <c r="O16" s="25" t="s">
        <v>175</v>
      </c>
    </row>
    <row r="17" spans="2:15" x14ac:dyDescent="0.25">
      <c r="B17" s="25" t="s">
        <v>53</v>
      </c>
      <c r="C17" s="25" t="s">
        <v>38</v>
      </c>
      <c r="D17" s="26">
        <v>200</v>
      </c>
      <c r="E17" s="26"/>
      <c r="I17" s="25" t="s">
        <v>46</v>
      </c>
      <c r="J17" s="25" t="s">
        <v>35</v>
      </c>
      <c r="K17" s="25" t="s">
        <v>27</v>
      </c>
      <c r="L17" s="25">
        <f>$D$10*2</f>
        <v>20</v>
      </c>
      <c r="M17" s="25">
        <f>VLOOKUP(J17,$B$15:$E$32,3,0)</f>
        <v>15</v>
      </c>
      <c r="N17" s="91">
        <f t="shared" si="0"/>
        <v>300</v>
      </c>
      <c r="O17" s="25"/>
    </row>
    <row r="18" spans="2:15" x14ac:dyDescent="0.25">
      <c r="B18" s="25" t="s">
        <v>55</v>
      </c>
      <c r="C18" s="25" t="s">
        <v>38</v>
      </c>
      <c r="D18" s="26">
        <v>150</v>
      </c>
      <c r="E18" s="26"/>
      <c r="I18" s="92" t="s">
        <v>47</v>
      </c>
      <c r="J18" s="25"/>
      <c r="K18" s="25"/>
      <c r="L18" s="25"/>
      <c r="M18" s="25"/>
      <c r="N18" s="93">
        <f>SUM(N13:N17)</f>
        <v>6550</v>
      </c>
      <c r="O18" s="25"/>
    </row>
    <row r="19" spans="2:15" x14ac:dyDescent="0.25">
      <c r="B19" s="25" t="s">
        <v>39</v>
      </c>
      <c r="C19" s="25" t="s">
        <v>27</v>
      </c>
      <c r="D19" s="26">
        <v>150</v>
      </c>
      <c r="E19" s="26"/>
      <c r="I19" s="94"/>
      <c r="J19" s="94"/>
      <c r="K19" s="94"/>
      <c r="L19" s="94"/>
      <c r="M19" s="94"/>
      <c r="N19" s="95"/>
      <c r="O19" s="94"/>
    </row>
    <row r="20" spans="2:15" x14ac:dyDescent="0.25">
      <c r="B20" s="25" t="s">
        <v>51</v>
      </c>
      <c r="C20" s="25" t="s">
        <v>27</v>
      </c>
      <c r="D20" s="26">
        <v>120</v>
      </c>
      <c r="E20" s="26"/>
      <c r="I20" s="25" t="s">
        <v>48</v>
      </c>
      <c r="J20" s="25" t="s">
        <v>54</v>
      </c>
      <c r="K20" s="25" t="s">
        <v>27</v>
      </c>
      <c r="L20" s="25">
        <f>$D$10*1</f>
        <v>10</v>
      </c>
      <c r="M20" s="25">
        <f>VLOOKUP(J20,$B$15:$E$32,3,0)</f>
        <v>160</v>
      </c>
      <c r="N20" s="91">
        <f t="shared" ref="N20:N24" si="1">L20*M20</f>
        <v>1600</v>
      </c>
      <c r="O20" s="25"/>
    </row>
    <row r="21" spans="2:15" x14ac:dyDescent="0.25">
      <c r="B21" s="25" t="s">
        <v>50</v>
      </c>
      <c r="C21" s="25" t="s">
        <v>27</v>
      </c>
      <c r="D21" s="26">
        <v>130</v>
      </c>
      <c r="E21" s="26"/>
      <c r="I21" s="25" t="s">
        <v>44</v>
      </c>
      <c r="J21" s="25" t="s">
        <v>39</v>
      </c>
      <c r="K21" s="25" t="s">
        <v>27</v>
      </c>
      <c r="L21" s="25">
        <f>$D$10*2</f>
        <v>20</v>
      </c>
      <c r="M21" s="25">
        <f>VLOOKUP(J21,$B$15:$E$32,3,0)</f>
        <v>150</v>
      </c>
      <c r="N21" s="91">
        <f t="shared" si="1"/>
        <v>3000</v>
      </c>
      <c r="O21" s="25" t="s">
        <v>45</v>
      </c>
    </row>
    <row r="22" spans="2:15" x14ac:dyDescent="0.25">
      <c r="B22" s="25" t="s">
        <v>57</v>
      </c>
      <c r="C22" s="25" t="s">
        <v>27</v>
      </c>
      <c r="D22" s="26">
        <v>210</v>
      </c>
      <c r="E22" s="26"/>
      <c r="I22" s="25" t="s">
        <v>43</v>
      </c>
      <c r="J22" s="25" t="s">
        <v>15</v>
      </c>
      <c r="K22" s="25" t="s">
        <v>27</v>
      </c>
      <c r="L22" s="25">
        <f>$D$10*2</f>
        <v>20</v>
      </c>
      <c r="M22" s="25">
        <f>VLOOKUP(J22,$B$4:$E$8,3,0)</f>
        <v>65</v>
      </c>
      <c r="N22" s="91">
        <f t="shared" si="1"/>
        <v>1300</v>
      </c>
      <c r="O22" s="25" t="s">
        <v>129</v>
      </c>
    </row>
    <row r="23" spans="2:15" x14ac:dyDescent="0.25">
      <c r="B23" s="25" t="s">
        <v>35</v>
      </c>
      <c r="C23" s="25" t="s">
        <v>27</v>
      </c>
      <c r="D23" s="26">
        <v>15</v>
      </c>
      <c r="E23" s="26"/>
      <c r="I23" s="25" t="s">
        <v>49</v>
      </c>
      <c r="J23" s="25" t="s">
        <v>51</v>
      </c>
      <c r="K23" s="25" t="s">
        <v>27</v>
      </c>
      <c r="L23" s="25">
        <f>$D$10*1</f>
        <v>10</v>
      </c>
      <c r="M23" s="25">
        <f>VLOOKUP(J23,$B$15:$E$32,3,0)</f>
        <v>120</v>
      </c>
      <c r="N23" s="91">
        <f t="shared" si="1"/>
        <v>1200</v>
      </c>
      <c r="O23" s="25"/>
    </row>
    <row r="24" spans="2:15" x14ac:dyDescent="0.25">
      <c r="B24" s="25" t="s">
        <v>339</v>
      </c>
      <c r="C24" s="25" t="s">
        <v>27</v>
      </c>
      <c r="D24" s="96">
        <f>1850+125+3*350/10+1750/50+180+190+1800/50</f>
        <v>2521</v>
      </c>
      <c r="E24" s="26" t="s">
        <v>346</v>
      </c>
      <c r="I24" s="25" t="s">
        <v>52</v>
      </c>
      <c r="J24" s="25" t="s">
        <v>50</v>
      </c>
      <c r="K24" s="25" t="s">
        <v>27</v>
      </c>
      <c r="L24" s="25">
        <f>$D$10*1</f>
        <v>10</v>
      </c>
      <c r="M24" s="25">
        <f>VLOOKUP(J24,$B$15:$E$32,3,0)</f>
        <v>130</v>
      </c>
      <c r="N24" s="91">
        <f t="shared" si="1"/>
        <v>1300</v>
      </c>
      <c r="O24" s="25"/>
    </row>
    <row r="25" spans="2:15" x14ac:dyDescent="0.25">
      <c r="B25" s="25" t="s">
        <v>338</v>
      </c>
      <c r="C25" s="25" t="s">
        <v>27</v>
      </c>
      <c r="D25" s="26">
        <v>1100</v>
      </c>
      <c r="E25" s="26"/>
      <c r="I25" s="25"/>
      <c r="J25" s="25"/>
      <c r="K25" s="25"/>
      <c r="L25" s="25"/>
      <c r="M25" s="25"/>
      <c r="N25" s="91"/>
      <c r="O25" s="25"/>
    </row>
    <row r="26" spans="2:15" x14ac:dyDescent="0.25">
      <c r="B26" s="25" t="s">
        <v>63</v>
      </c>
      <c r="C26" s="25" t="s">
        <v>27</v>
      </c>
      <c r="D26" s="26">
        <v>850</v>
      </c>
      <c r="E26" s="26"/>
      <c r="I26" s="92" t="s">
        <v>167</v>
      </c>
      <c r="J26" s="25"/>
      <c r="K26" s="25"/>
      <c r="L26" s="25"/>
      <c r="M26" s="25"/>
      <c r="N26" s="93">
        <f>SUM(N20:N24)</f>
        <v>8400</v>
      </c>
      <c r="O26" s="25"/>
    </row>
    <row r="27" spans="2:15" x14ac:dyDescent="0.25">
      <c r="B27" s="25" t="s">
        <v>143</v>
      </c>
      <c r="C27" s="25" t="s">
        <v>27</v>
      </c>
      <c r="D27" s="26">
        <v>750</v>
      </c>
      <c r="E27" s="26"/>
      <c r="I27" s="94"/>
      <c r="J27" s="94"/>
      <c r="K27" s="94"/>
      <c r="L27" s="94"/>
      <c r="M27" s="94"/>
      <c r="N27" s="95"/>
      <c r="O27" s="94"/>
    </row>
    <row r="28" spans="2:15" x14ac:dyDescent="0.25">
      <c r="B28" s="25" t="s">
        <v>144</v>
      </c>
      <c r="C28" s="25" t="s">
        <v>38</v>
      </c>
      <c r="D28" s="26">
        <v>480</v>
      </c>
      <c r="E28" s="26"/>
      <c r="I28" s="25" t="s">
        <v>48</v>
      </c>
      <c r="J28" s="25" t="s">
        <v>54</v>
      </c>
      <c r="K28" s="25" t="s">
        <v>27</v>
      </c>
      <c r="L28" s="25">
        <f>$D$10*1</f>
        <v>10</v>
      </c>
      <c r="M28" s="25">
        <f>VLOOKUP(J28,$B$15:$E$32,3,0)</f>
        <v>160</v>
      </c>
      <c r="N28" s="91">
        <f t="shared" ref="N28:N33" si="2">L28*M28</f>
        <v>1600</v>
      </c>
      <c r="O28" s="25"/>
    </row>
    <row r="29" spans="2:15" x14ac:dyDescent="0.25">
      <c r="B29" s="25" t="s">
        <v>74</v>
      </c>
      <c r="C29" s="25" t="s">
        <v>27</v>
      </c>
      <c r="D29" s="26">
        <v>175</v>
      </c>
      <c r="E29" s="26"/>
      <c r="I29" s="25" t="s">
        <v>44</v>
      </c>
      <c r="J29" s="25" t="s">
        <v>39</v>
      </c>
      <c r="K29" s="25" t="s">
        <v>27</v>
      </c>
      <c r="L29" s="25">
        <f>$D$10*2</f>
        <v>20</v>
      </c>
      <c r="M29" s="25">
        <f>VLOOKUP(J29,$B$15:$E$32,3,0)</f>
        <v>150</v>
      </c>
      <c r="N29" s="91">
        <f t="shared" si="2"/>
        <v>3000</v>
      </c>
      <c r="O29" s="25" t="s">
        <v>45</v>
      </c>
    </row>
    <row r="30" spans="2:15" x14ac:dyDescent="0.25">
      <c r="B30" s="25" t="s">
        <v>113</v>
      </c>
      <c r="C30" s="25" t="s">
        <v>27</v>
      </c>
      <c r="D30" s="26">
        <v>200</v>
      </c>
      <c r="E30" s="26"/>
      <c r="I30" s="25" t="s">
        <v>56</v>
      </c>
      <c r="J30" s="25" t="s">
        <v>57</v>
      </c>
      <c r="K30" s="25" t="s">
        <v>27</v>
      </c>
      <c r="L30" s="25">
        <f>$D$10*1</f>
        <v>10</v>
      </c>
      <c r="M30" s="25">
        <f>VLOOKUP(J30,$B$15:$E$32,3,0)</f>
        <v>210</v>
      </c>
      <c r="N30" s="91">
        <f t="shared" si="2"/>
        <v>2100</v>
      </c>
      <c r="O30" s="25"/>
    </row>
    <row r="31" spans="2:15" x14ac:dyDescent="0.25">
      <c r="B31" s="25" t="s">
        <v>169</v>
      </c>
      <c r="C31" s="25" t="s">
        <v>27</v>
      </c>
      <c r="D31" s="26">
        <v>12</v>
      </c>
      <c r="E31" s="26"/>
      <c r="I31" s="25" t="s">
        <v>49</v>
      </c>
      <c r="J31" s="25" t="s">
        <v>51</v>
      </c>
      <c r="K31" s="25" t="s">
        <v>27</v>
      </c>
      <c r="L31" s="25">
        <f>$D$10*1</f>
        <v>10</v>
      </c>
      <c r="M31" s="25">
        <f>VLOOKUP(J31,$B$15:$E$32,3,0)</f>
        <v>120</v>
      </c>
      <c r="N31" s="91">
        <f t="shared" si="2"/>
        <v>1200</v>
      </c>
      <c r="O31" s="25"/>
    </row>
    <row r="32" spans="2:15" x14ac:dyDescent="0.25">
      <c r="I32" s="25" t="s">
        <v>52</v>
      </c>
      <c r="J32" s="25" t="s">
        <v>50</v>
      </c>
      <c r="K32" s="25" t="s">
        <v>27</v>
      </c>
      <c r="L32" s="25">
        <f>$D$10*1</f>
        <v>10</v>
      </c>
      <c r="M32" s="25">
        <f>VLOOKUP(J32,$B$15:$E$32,3,0)</f>
        <v>130</v>
      </c>
      <c r="N32" s="91">
        <f t="shared" si="2"/>
        <v>1300</v>
      </c>
      <c r="O32" s="25"/>
    </row>
    <row r="33" spans="2:15" x14ac:dyDescent="0.25">
      <c r="B33" s="134" t="s">
        <v>87</v>
      </c>
      <c r="C33" s="134"/>
      <c r="D33" s="134"/>
      <c r="I33" s="25" t="s">
        <v>43</v>
      </c>
      <c r="J33" s="25" t="s">
        <v>15</v>
      </c>
      <c r="K33" s="25" t="s">
        <v>27</v>
      </c>
      <c r="L33" s="25">
        <f>$D$10*1</f>
        <v>10</v>
      </c>
      <c r="M33" s="25">
        <f>VLOOKUP(J33,$B$4:$E$8,3,0)</f>
        <v>65</v>
      </c>
      <c r="N33" s="91">
        <f t="shared" si="2"/>
        <v>650</v>
      </c>
      <c r="O33" s="25"/>
    </row>
    <row r="34" spans="2:15" x14ac:dyDescent="0.25">
      <c r="B34" s="25" t="s">
        <v>79</v>
      </c>
      <c r="C34" s="25" t="s">
        <v>10</v>
      </c>
      <c r="D34" s="97">
        <f>'INPUT-OUTPUT'!E41</f>
        <v>500</v>
      </c>
      <c r="I34" s="92" t="s">
        <v>58</v>
      </c>
      <c r="J34" s="25"/>
      <c r="K34" s="25"/>
      <c r="L34" s="25"/>
      <c r="M34" s="25"/>
      <c r="N34" s="93">
        <f>SUM(N28:N33)</f>
        <v>9850</v>
      </c>
      <c r="O34" s="25"/>
    </row>
    <row r="35" spans="2:15" x14ac:dyDescent="0.25">
      <c r="B35" s="25" t="s">
        <v>80</v>
      </c>
      <c r="C35" s="25" t="s">
        <v>81</v>
      </c>
      <c r="D35" s="25">
        <v>80</v>
      </c>
      <c r="E35" s="98"/>
      <c r="F35" s="99"/>
      <c r="I35" s="94"/>
      <c r="J35" s="94"/>
      <c r="K35" s="94"/>
      <c r="L35" s="94"/>
      <c r="M35" s="94"/>
      <c r="N35" s="95"/>
      <c r="O35" s="94"/>
    </row>
    <row r="36" spans="2:15" x14ac:dyDescent="0.25">
      <c r="B36" s="25" t="s">
        <v>76</v>
      </c>
      <c r="C36" s="25" t="s">
        <v>8</v>
      </c>
      <c r="D36" s="25">
        <v>30</v>
      </c>
      <c r="E36" s="98"/>
      <c r="I36" s="25" t="s">
        <v>40</v>
      </c>
      <c r="J36" s="25" t="s">
        <v>37</v>
      </c>
      <c r="K36" s="25" t="s">
        <v>27</v>
      </c>
      <c r="L36" s="25">
        <f>$D$10*1</f>
        <v>10</v>
      </c>
      <c r="M36" s="25">
        <f>VLOOKUP(J36,$B$15:$E$32,3,0)</f>
        <v>175</v>
      </c>
      <c r="N36" s="91">
        <f t="shared" ref="N36:N41" si="3">L36*M36</f>
        <v>1750</v>
      </c>
      <c r="O36" s="127" t="s">
        <v>59</v>
      </c>
    </row>
    <row r="37" spans="2:15" x14ac:dyDescent="0.25">
      <c r="B37" s="25" t="s">
        <v>77</v>
      </c>
      <c r="C37" s="25" t="s">
        <v>78</v>
      </c>
      <c r="D37" s="25">
        <v>10</v>
      </c>
      <c r="I37" s="25" t="s">
        <v>40</v>
      </c>
      <c r="J37" s="25" t="s">
        <v>37</v>
      </c>
      <c r="K37" s="25" t="s">
        <v>27</v>
      </c>
      <c r="L37" s="25">
        <f>$D$10*1</f>
        <v>10</v>
      </c>
      <c r="M37" s="25">
        <f>VLOOKUP(J37,$B$15:$E$32,3,0)</f>
        <v>175</v>
      </c>
      <c r="N37" s="91">
        <f t="shared" si="3"/>
        <v>1750</v>
      </c>
      <c r="O37" s="127"/>
    </row>
    <row r="38" spans="2:15" x14ac:dyDescent="0.25">
      <c r="B38" s="25" t="s">
        <v>82</v>
      </c>
      <c r="C38" s="25" t="s">
        <v>84</v>
      </c>
      <c r="D38" s="100">
        <f>D36/(D37*1.8)*60</f>
        <v>100</v>
      </c>
      <c r="I38" s="25" t="s">
        <v>42</v>
      </c>
      <c r="J38" s="25" t="s">
        <v>53</v>
      </c>
      <c r="K38" s="25" t="s">
        <v>27</v>
      </c>
      <c r="L38" s="25">
        <f>$D$10*1</f>
        <v>10</v>
      </c>
      <c r="M38" s="25">
        <f>VLOOKUP(J38,$B$15:$E$32,3,0)</f>
        <v>200</v>
      </c>
      <c r="N38" s="91">
        <f t="shared" si="3"/>
        <v>2000</v>
      </c>
      <c r="O38" s="25"/>
    </row>
    <row r="39" spans="2:15" x14ac:dyDescent="0.25">
      <c r="B39" s="25" t="s">
        <v>83</v>
      </c>
      <c r="C39" s="25" t="s">
        <v>84</v>
      </c>
      <c r="D39" s="25">
        <f>D34*2/D35*60</f>
        <v>750</v>
      </c>
      <c r="I39" s="25" t="s">
        <v>44</v>
      </c>
      <c r="J39" s="25" t="s">
        <v>39</v>
      </c>
      <c r="K39" s="25" t="s">
        <v>27</v>
      </c>
      <c r="L39" s="25">
        <f>$D$10*2</f>
        <v>20</v>
      </c>
      <c r="M39" s="25">
        <f>VLOOKUP(J39,$B$15:$E$32,3,0)</f>
        <v>150</v>
      </c>
      <c r="N39" s="91">
        <f t="shared" si="3"/>
        <v>3000</v>
      </c>
      <c r="O39" s="25"/>
    </row>
    <row r="40" spans="2:15" x14ac:dyDescent="0.25">
      <c r="B40" s="25" t="s">
        <v>85</v>
      </c>
      <c r="C40" s="25" t="s">
        <v>84</v>
      </c>
      <c r="D40" s="25">
        <v>15</v>
      </c>
      <c r="I40" s="25" t="s">
        <v>43</v>
      </c>
      <c r="J40" s="25" t="s">
        <v>15</v>
      </c>
      <c r="K40" s="25" t="s">
        <v>27</v>
      </c>
      <c r="L40" s="25">
        <f>$D$10*4</f>
        <v>40</v>
      </c>
      <c r="M40" s="25">
        <f>VLOOKUP(J40,$B$4:$E$8,3,0)</f>
        <v>65</v>
      </c>
      <c r="N40" s="91">
        <f t="shared" si="3"/>
        <v>2600</v>
      </c>
      <c r="O40" s="25" t="s">
        <v>152</v>
      </c>
    </row>
    <row r="41" spans="2:15" x14ac:dyDescent="0.25">
      <c r="B41" s="25" t="s">
        <v>86</v>
      </c>
      <c r="C41" s="25" t="s">
        <v>84</v>
      </c>
      <c r="D41" s="25">
        <v>1.2</v>
      </c>
      <c r="I41" s="25" t="s">
        <v>46</v>
      </c>
      <c r="J41" s="25" t="s">
        <v>35</v>
      </c>
      <c r="K41" s="25" t="s">
        <v>27</v>
      </c>
      <c r="L41" s="25">
        <f>$D$10*1</f>
        <v>10</v>
      </c>
      <c r="M41" s="25">
        <f>VLOOKUP(J41,$B$15:$E$32,3,0)</f>
        <v>15</v>
      </c>
      <c r="N41" s="91">
        <f t="shared" si="3"/>
        <v>150</v>
      </c>
      <c r="O41" s="25"/>
    </row>
    <row r="42" spans="2:15" x14ac:dyDescent="0.25">
      <c r="B42" s="25" t="s">
        <v>88</v>
      </c>
      <c r="C42" s="25" t="s">
        <v>84</v>
      </c>
      <c r="D42" s="100">
        <f>SUM(D38:D41)</f>
        <v>866.2</v>
      </c>
      <c r="I42" s="92" t="s">
        <v>60</v>
      </c>
      <c r="J42" s="25"/>
      <c r="K42" s="25"/>
      <c r="L42" s="25"/>
      <c r="M42" s="25"/>
      <c r="N42" s="93">
        <f>SUM(N36:N41)</f>
        <v>11250</v>
      </c>
      <c r="O42" s="25"/>
    </row>
    <row r="43" spans="2:15" x14ac:dyDescent="0.25">
      <c r="B43" s="25" t="s">
        <v>89</v>
      </c>
      <c r="C43" s="25" t="s">
        <v>4</v>
      </c>
      <c r="D43" s="25">
        <f>ROUNDUP(D42/D38,0)</f>
        <v>9</v>
      </c>
      <c r="G43" s="13" t="s">
        <v>141</v>
      </c>
      <c r="H43" s="13" t="s">
        <v>142</v>
      </c>
      <c r="I43" s="94"/>
      <c r="J43" s="94"/>
      <c r="K43" s="94"/>
      <c r="L43" s="94"/>
      <c r="M43" s="94"/>
      <c r="N43" s="95"/>
      <c r="O43" s="94"/>
    </row>
    <row r="44" spans="2:15" x14ac:dyDescent="0.25">
      <c r="G44" s="13">
        <f>IF('INPUT-OUTPUT'!$E$9&gt;50,1,0)</f>
        <v>1</v>
      </c>
      <c r="H44" s="13">
        <f>IF('INPUT-OUTPUT'!$E$6&gt;70,1,0)</f>
        <v>1</v>
      </c>
      <c r="I44" s="53" t="s">
        <v>61</v>
      </c>
      <c r="J44" s="53" t="s">
        <v>339</v>
      </c>
      <c r="K44" s="53" t="s">
        <v>27</v>
      </c>
      <c r="L44" s="53">
        <f>$D$10*(MAX(G44:H44))</f>
        <v>10</v>
      </c>
      <c r="M44" s="53">
        <f>VLOOKUP(J44,$B$15:$E$32,3,0)</f>
        <v>2521</v>
      </c>
      <c r="N44" s="101">
        <f t="shared" ref="N44" si="4">L44*M44</f>
        <v>25210</v>
      </c>
      <c r="O44" s="25" t="s">
        <v>347</v>
      </c>
    </row>
    <row r="45" spans="2:15" x14ac:dyDescent="0.25">
      <c r="G45" s="13">
        <f>IF('INPUT-OUTPUT'!$E$9&lt;=50,1,0)</f>
        <v>0</v>
      </c>
      <c r="H45" s="13">
        <f>IF('INPUT-OUTPUT'!$E$6&lt;=70,1,0)</f>
        <v>0</v>
      </c>
      <c r="I45" s="53" t="s">
        <v>61</v>
      </c>
      <c r="J45" s="53" t="s">
        <v>338</v>
      </c>
      <c r="K45" s="53" t="s">
        <v>27</v>
      </c>
      <c r="L45" s="53">
        <f>IF(L44=0,$D$10,0)</f>
        <v>0</v>
      </c>
      <c r="M45" s="53">
        <f>VLOOKUP(J45,$B$15:$E$32,3,0)</f>
        <v>1100</v>
      </c>
      <c r="N45" s="101">
        <f t="shared" ref="N45:N49" si="5">L45*M45</f>
        <v>0</v>
      </c>
      <c r="O45" s="25"/>
    </row>
    <row r="46" spans="2:15" x14ac:dyDescent="0.25">
      <c r="B46" s="134" t="s">
        <v>98</v>
      </c>
      <c r="C46" s="134"/>
      <c r="D46" s="134"/>
      <c r="I46" s="25" t="s">
        <v>62</v>
      </c>
      <c r="J46" s="25" t="s">
        <v>63</v>
      </c>
      <c r="K46" s="25" t="s">
        <v>27</v>
      </c>
      <c r="L46" s="25">
        <f>$D$10*2</f>
        <v>20</v>
      </c>
      <c r="M46" s="25">
        <f>VLOOKUP(J46,$B$15:$E$32,3,0)</f>
        <v>850</v>
      </c>
      <c r="N46" s="91">
        <f t="shared" si="5"/>
        <v>17000</v>
      </c>
      <c r="O46" s="25" t="s">
        <v>340</v>
      </c>
    </row>
    <row r="47" spans="2:15" x14ac:dyDescent="0.25">
      <c r="B47" s="25" t="s">
        <v>79</v>
      </c>
      <c r="C47" s="25" t="s">
        <v>10</v>
      </c>
      <c r="D47" s="97">
        <f>'INPUT-OUTPUT'!E42</f>
        <v>500</v>
      </c>
      <c r="I47" s="25" t="s">
        <v>65</v>
      </c>
      <c r="J47" s="25" t="s">
        <v>151</v>
      </c>
      <c r="K47" s="25" t="s">
        <v>38</v>
      </c>
      <c r="L47" s="25">
        <f t="shared" ref="L47" si="6">$D$10*1</f>
        <v>10</v>
      </c>
      <c r="M47" s="25">
        <f>VLOOKUP(J47,$B$15:$E$32,3,0)/$D$10</f>
        <v>48</v>
      </c>
      <c r="N47" s="91">
        <f t="shared" si="5"/>
        <v>480</v>
      </c>
      <c r="O47" s="25"/>
    </row>
    <row r="48" spans="2:15" x14ac:dyDescent="0.25">
      <c r="B48" s="25" t="s">
        <v>80</v>
      </c>
      <c r="C48" s="25" t="s">
        <v>81</v>
      </c>
      <c r="D48" s="25">
        <v>80</v>
      </c>
      <c r="I48" s="25" t="s">
        <v>64</v>
      </c>
      <c r="J48" s="25" t="s">
        <v>21</v>
      </c>
      <c r="K48" s="25" t="s">
        <v>27</v>
      </c>
      <c r="L48" s="25">
        <f>$D$10*6</f>
        <v>60</v>
      </c>
      <c r="M48" s="25">
        <f t="shared" ref="M48:M49" si="7">VLOOKUP(J48,$B$4:$E$8,3,0)</f>
        <v>75</v>
      </c>
      <c r="N48" s="91">
        <f t="shared" si="5"/>
        <v>4500</v>
      </c>
      <c r="O48" s="25" t="s">
        <v>363</v>
      </c>
    </row>
    <row r="49" spans="2:15" x14ac:dyDescent="0.25">
      <c r="B49" s="25" t="s">
        <v>76</v>
      </c>
      <c r="C49" s="25" t="s">
        <v>8</v>
      </c>
      <c r="D49" s="25">
        <v>30</v>
      </c>
      <c r="I49" s="25" t="s">
        <v>43</v>
      </c>
      <c r="J49" s="25" t="s">
        <v>15</v>
      </c>
      <c r="K49" s="25" t="s">
        <v>27</v>
      </c>
      <c r="L49" s="25">
        <f>$D$10*2</f>
        <v>20</v>
      </c>
      <c r="M49" s="25">
        <f t="shared" si="7"/>
        <v>65</v>
      </c>
      <c r="N49" s="91">
        <f t="shared" si="5"/>
        <v>1300</v>
      </c>
      <c r="O49" s="25" t="s">
        <v>129</v>
      </c>
    </row>
    <row r="50" spans="2:15" x14ac:dyDescent="0.25">
      <c r="B50" s="25" t="s">
        <v>99</v>
      </c>
      <c r="C50" s="25" t="s">
        <v>78</v>
      </c>
      <c r="D50" s="25">
        <v>20</v>
      </c>
      <c r="I50" s="92" t="s">
        <v>66</v>
      </c>
      <c r="J50" s="25"/>
      <c r="K50" s="25"/>
      <c r="L50" s="25"/>
      <c r="M50" s="25"/>
      <c r="N50" s="93">
        <f>SUM(N44:N49)</f>
        <v>48490</v>
      </c>
      <c r="O50" s="25"/>
    </row>
    <row r="51" spans="2:15" x14ac:dyDescent="0.25">
      <c r="B51" s="25" t="s">
        <v>82</v>
      </c>
      <c r="C51" s="25" t="s">
        <v>84</v>
      </c>
      <c r="D51" s="100">
        <f>D49/(D50*1.8)*60</f>
        <v>50</v>
      </c>
      <c r="I51" s="25" t="s">
        <v>348</v>
      </c>
      <c r="J51" s="25"/>
      <c r="K51" s="25" t="s">
        <v>4</v>
      </c>
      <c r="L51" s="97">
        <v>1</v>
      </c>
      <c r="M51" s="102">
        <f>D24*3*10</f>
        <v>75630</v>
      </c>
      <c r="N51" s="91">
        <f>M51*L51</f>
        <v>75630</v>
      </c>
      <c r="O51" s="25" t="s">
        <v>353</v>
      </c>
    </row>
    <row r="52" spans="2:15" x14ac:dyDescent="0.25">
      <c r="B52" s="25" t="s">
        <v>83</v>
      </c>
      <c r="C52" s="25" t="s">
        <v>84</v>
      </c>
      <c r="D52" s="25">
        <f>D47*2/D48*60</f>
        <v>750</v>
      </c>
      <c r="I52" s="94"/>
      <c r="J52" s="94"/>
      <c r="K52" s="94"/>
      <c r="L52" s="94"/>
      <c r="M52" s="94"/>
      <c r="N52" s="95"/>
      <c r="O52" s="94"/>
    </row>
    <row r="53" spans="2:15" x14ac:dyDescent="0.25">
      <c r="B53" s="25" t="s">
        <v>85</v>
      </c>
      <c r="C53" s="25" t="s">
        <v>84</v>
      </c>
      <c r="D53" s="25">
        <v>15</v>
      </c>
      <c r="I53" s="25" t="s">
        <v>75</v>
      </c>
      <c r="J53" s="25" t="s">
        <v>74</v>
      </c>
      <c r="K53" s="25" t="s">
        <v>27</v>
      </c>
      <c r="L53" s="25">
        <f>$D$10*D43</f>
        <v>90</v>
      </c>
      <c r="M53" s="25">
        <f>VLOOKUP(J53,$B$15:$E$32,3,0)</f>
        <v>175</v>
      </c>
      <c r="N53" s="91">
        <f t="shared" ref="N53:N54" si="8">L53*M53</f>
        <v>15750</v>
      </c>
      <c r="O53" s="25"/>
    </row>
    <row r="54" spans="2:15" x14ac:dyDescent="0.25">
      <c r="B54" s="25" t="s">
        <v>86</v>
      </c>
      <c r="C54" s="25" t="s">
        <v>84</v>
      </c>
      <c r="D54" s="25">
        <v>1.2</v>
      </c>
      <c r="I54" s="25" t="s">
        <v>48</v>
      </c>
      <c r="J54" s="25" t="s">
        <v>37</v>
      </c>
      <c r="K54" s="25" t="s">
        <v>27</v>
      </c>
      <c r="L54" s="25">
        <f t="shared" ref="L54:L55" si="9">$D$10*1</f>
        <v>10</v>
      </c>
      <c r="M54" s="25">
        <f>VLOOKUP(J54,$B$15:$E$32,3,0)</f>
        <v>175</v>
      </c>
      <c r="N54" s="91">
        <f t="shared" si="8"/>
        <v>1750</v>
      </c>
      <c r="O54" s="25" t="s">
        <v>101</v>
      </c>
    </row>
    <row r="55" spans="2:15" x14ac:dyDescent="0.25">
      <c r="B55" s="25" t="s">
        <v>88</v>
      </c>
      <c r="C55" s="25" t="s">
        <v>84</v>
      </c>
      <c r="D55" s="100">
        <f>SUM(D51:D54)</f>
        <v>816.2</v>
      </c>
      <c r="I55" s="25" t="s">
        <v>43</v>
      </c>
      <c r="J55" s="25" t="s">
        <v>15</v>
      </c>
      <c r="K55" s="25" t="s">
        <v>27</v>
      </c>
      <c r="L55" s="25">
        <f t="shared" si="9"/>
        <v>10</v>
      </c>
      <c r="M55" s="25">
        <f t="shared" ref="M55" si="10">VLOOKUP(J55,$B$4:$E$8,3,0)</f>
        <v>65</v>
      </c>
      <c r="N55" s="91">
        <f t="shared" ref="N55" si="11">L55*M55</f>
        <v>650</v>
      </c>
      <c r="O55" s="25"/>
    </row>
    <row r="56" spans="2:15" x14ac:dyDescent="0.25">
      <c r="B56" s="25" t="s">
        <v>89</v>
      </c>
      <c r="C56" s="25" t="s">
        <v>4</v>
      </c>
      <c r="D56" s="25">
        <f>ROUNDUP(D55/D51,0)</f>
        <v>17</v>
      </c>
      <c r="I56" s="92" t="s">
        <v>90</v>
      </c>
      <c r="J56" s="25"/>
      <c r="K56" s="25"/>
      <c r="L56" s="25"/>
      <c r="M56" s="25"/>
      <c r="N56" s="93">
        <f>SUM(N53:N55)</f>
        <v>18150</v>
      </c>
      <c r="O56" s="25"/>
    </row>
    <row r="57" spans="2:15" x14ac:dyDescent="0.25">
      <c r="I57" s="94"/>
      <c r="J57" s="94"/>
      <c r="K57" s="94"/>
      <c r="L57" s="94"/>
      <c r="M57" s="94"/>
      <c r="N57" s="95"/>
      <c r="O57" s="94"/>
    </row>
    <row r="58" spans="2:15" x14ac:dyDescent="0.25">
      <c r="I58" s="25" t="s">
        <v>75</v>
      </c>
      <c r="J58" s="25" t="s">
        <v>74</v>
      </c>
      <c r="K58" s="25" t="s">
        <v>27</v>
      </c>
      <c r="L58" s="25">
        <f>$D$10*$D$56</f>
        <v>170</v>
      </c>
      <c r="M58" s="25">
        <f>VLOOKUP(J58,$B$15:$E$32,3,0)</f>
        <v>175</v>
      </c>
      <c r="N58" s="91">
        <f t="shared" ref="N58:N60" si="12">L58*M58</f>
        <v>29750</v>
      </c>
      <c r="O58" s="25"/>
    </row>
    <row r="59" spans="2:15" x14ac:dyDescent="0.25">
      <c r="B59" s="13" t="s">
        <v>201</v>
      </c>
      <c r="C59" s="13" t="s">
        <v>165</v>
      </c>
      <c r="I59" s="25" t="s">
        <v>48</v>
      </c>
      <c r="J59" s="25" t="s">
        <v>37</v>
      </c>
      <c r="K59" s="25" t="s">
        <v>27</v>
      </c>
      <c r="L59" s="25">
        <f t="shared" ref="L59:L60" si="13">$D$10*1</f>
        <v>10</v>
      </c>
      <c r="M59" s="25">
        <f>VLOOKUP(J59,$B$15:$E$32,3,0)</f>
        <v>175</v>
      </c>
      <c r="N59" s="91">
        <f t="shared" si="12"/>
        <v>1750</v>
      </c>
      <c r="O59" s="25" t="s">
        <v>102</v>
      </c>
    </row>
    <row r="60" spans="2:15" x14ac:dyDescent="0.25">
      <c r="C60" s="13" t="s">
        <v>202</v>
      </c>
      <c r="I60" s="25" t="s">
        <v>43</v>
      </c>
      <c r="J60" s="25" t="s">
        <v>15</v>
      </c>
      <c r="K60" s="25" t="s">
        <v>27</v>
      </c>
      <c r="L60" s="25">
        <f t="shared" si="13"/>
        <v>10</v>
      </c>
      <c r="M60" s="25">
        <f t="shared" ref="M60" si="14">VLOOKUP(J60,$B$4:$E$8,3,0)</f>
        <v>65</v>
      </c>
      <c r="N60" s="91">
        <f t="shared" si="12"/>
        <v>650</v>
      </c>
      <c r="O60" s="25"/>
    </row>
    <row r="61" spans="2:15" x14ac:dyDescent="0.25">
      <c r="I61" s="92" t="s">
        <v>100</v>
      </c>
      <c r="J61" s="25"/>
      <c r="K61" s="25"/>
      <c r="L61" s="25"/>
      <c r="M61" s="25"/>
      <c r="N61" s="93">
        <f>SUM(N58:N60)</f>
        <v>32150</v>
      </c>
      <c r="O61" s="25"/>
    </row>
    <row r="62" spans="2:15" x14ac:dyDescent="0.25">
      <c r="I62" s="94"/>
      <c r="J62" s="94"/>
      <c r="K62" s="94"/>
      <c r="L62" s="94"/>
      <c r="M62" s="94"/>
      <c r="N62" s="95"/>
      <c r="O62" s="94"/>
    </row>
    <row r="63" spans="2:15" x14ac:dyDescent="0.25">
      <c r="I63" s="25" t="s">
        <v>108</v>
      </c>
      <c r="J63" s="25" t="s">
        <v>143</v>
      </c>
      <c r="K63" s="25" t="s">
        <v>27</v>
      </c>
      <c r="L63" s="25">
        <f>$D$10*2</f>
        <v>20</v>
      </c>
      <c r="M63" s="25">
        <f>VLOOKUP(J63,$B$15:$E$32,3,0)</f>
        <v>750</v>
      </c>
      <c r="N63" s="91">
        <f t="shared" ref="N63:N66" si="15">L63*M63</f>
        <v>15000</v>
      </c>
      <c r="O63" s="25"/>
    </row>
    <row r="64" spans="2:15" ht="36" x14ac:dyDescent="0.25">
      <c r="I64" s="25" t="s">
        <v>109</v>
      </c>
      <c r="J64" s="25" t="s">
        <v>113</v>
      </c>
      <c r="K64" s="25" t="s">
        <v>27</v>
      </c>
      <c r="L64" s="25">
        <f>$D$10*17</f>
        <v>170</v>
      </c>
      <c r="M64" s="25">
        <f>VLOOKUP(J64,$B$15:$E$32,3,0)</f>
        <v>200</v>
      </c>
      <c r="N64" s="91">
        <f t="shared" si="15"/>
        <v>34000</v>
      </c>
      <c r="O64" s="55" t="s">
        <v>112</v>
      </c>
    </row>
    <row r="65" spans="9:15" x14ac:dyDescent="0.25">
      <c r="I65" s="25" t="s">
        <v>110</v>
      </c>
      <c r="J65" s="25" t="s">
        <v>21</v>
      </c>
      <c r="K65" s="25" t="s">
        <v>27</v>
      </c>
      <c r="L65" s="25">
        <f>$D$10*4</f>
        <v>40</v>
      </c>
      <c r="M65" s="25">
        <f t="shared" ref="M65:M66" si="16">VLOOKUP(J65,$B$4:$E$8,3,0)</f>
        <v>75</v>
      </c>
      <c r="N65" s="91">
        <f t="shared" si="15"/>
        <v>3000</v>
      </c>
      <c r="O65" s="25"/>
    </row>
    <row r="66" spans="9:15" x14ac:dyDescent="0.25">
      <c r="I66" s="25" t="s">
        <v>43</v>
      </c>
      <c r="J66" s="25" t="s">
        <v>15</v>
      </c>
      <c r="K66" s="25" t="s">
        <v>27</v>
      </c>
      <c r="L66" s="25">
        <f>$D$10*1</f>
        <v>10</v>
      </c>
      <c r="M66" s="25">
        <f t="shared" si="16"/>
        <v>65</v>
      </c>
      <c r="N66" s="91">
        <f t="shared" si="15"/>
        <v>650</v>
      </c>
      <c r="O66" s="25"/>
    </row>
    <row r="67" spans="9:15" x14ac:dyDescent="0.25">
      <c r="I67" s="92" t="s">
        <v>111</v>
      </c>
      <c r="J67" s="25"/>
      <c r="K67" s="25"/>
      <c r="L67" s="25"/>
      <c r="M67" s="25"/>
      <c r="N67" s="93">
        <f>SUM(N63:N66)</f>
        <v>52650</v>
      </c>
      <c r="O67" s="25"/>
    </row>
    <row r="68" spans="9:15" x14ac:dyDescent="0.25">
      <c r="I68" s="94"/>
      <c r="J68" s="94"/>
      <c r="K68" s="94"/>
      <c r="L68" s="94"/>
      <c r="M68" s="94"/>
      <c r="N68" s="95"/>
      <c r="O68" s="94"/>
    </row>
    <row r="69" spans="9:15" x14ac:dyDescent="0.25">
      <c r="I69" s="25" t="s">
        <v>48</v>
      </c>
      <c r="J69" s="25" t="s">
        <v>54</v>
      </c>
      <c r="K69" s="25" t="s">
        <v>27</v>
      </c>
      <c r="L69" s="25">
        <f t="shared" ref="L69:L72" si="17">$D$10*1</f>
        <v>10</v>
      </c>
      <c r="M69" s="25">
        <f>VLOOKUP(J69,$B$15:$E$32,3,0)</f>
        <v>160</v>
      </c>
      <c r="N69" s="91">
        <f t="shared" ref="N69:N72" si="18">L69*M69</f>
        <v>1600</v>
      </c>
      <c r="O69" s="25"/>
    </row>
    <row r="70" spans="9:15" x14ac:dyDescent="0.25">
      <c r="I70" s="25" t="s">
        <v>44</v>
      </c>
      <c r="J70" s="25" t="s">
        <v>39</v>
      </c>
      <c r="K70" s="25" t="s">
        <v>27</v>
      </c>
      <c r="L70" s="25">
        <f>$D$10*2</f>
        <v>20</v>
      </c>
      <c r="M70" s="25">
        <f>VLOOKUP(J70,$B$15:$E$32,3,0)</f>
        <v>150</v>
      </c>
      <c r="N70" s="91">
        <f t="shared" si="18"/>
        <v>3000</v>
      </c>
      <c r="O70" s="25"/>
    </row>
    <row r="71" spans="9:15" x14ac:dyDescent="0.25">
      <c r="I71" s="25" t="s">
        <v>114</v>
      </c>
      <c r="J71" s="25" t="s">
        <v>50</v>
      </c>
      <c r="K71" s="25" t="s">
        <v>27</v>
      </c>
      <c r="L71" s="25">
        <f t="shared" si="17"/>
        <v>10</v>
      </c>
      <c r="M71" s="25">
        <f>VLOOKUP(J71,$B$15:$E$32,3,0)</f>
        <v>130</v>
      </c>
      <c r="N71" s="91">
        <f t="shared" si="18"/>
        <v>1300</v>
      </c>
      <c r="O71" s="25"/>
    </row>
    <row r="72" spans="9:15" x14ac:dyDescent="0.25">
      <c r="I72" s="25" t="s">
        <v>43</v>
      </c>
      <c r="J72" s="25" t="s">
        <v>15</v>
      </c>
      <c r="K72" s="25" t="s">
        <v>27</v>
      </c>
      <c r="L72" s="25">
        <f t="shared" si="17"/>
        <v>10</v>
      </c>
      <c r="M72" s="25">
        <f t="shared" ref="M72" si="19">VLOOKUP(J72,$B$4:$E$8,3,0)</f>
        <v>65</v>
      </c>
      <c r="N72" s="91">
        <f t="shared" si="18"/>
        <v>650</v>
      </c>
      <c r="O72" s="25"/>
    </row>
    <row r="73" spans="9:15" x14ac:dyDescent="0.25">
      <c r="I73" s="92" t="s">
        <v>115</v>
      </c>
      <c r="J73" s="25"/>
      <c r="K73" s="25"/>
      <c r="L73" s="25"/>
      <c r="M73" s="25"/>
      <c r="N73" s="93">
        <f>SUM(N69:N72)</f>
        <v>6550</v>
      </c>
      <c r="O73" s="25"/>
    </row>
    <row r="74" spans="9:15" x14ac:dyDescent="0.25">
      <c r="I74" s="94"/>
      <c r="J74" s="94"/>
      <c r="K74" s="94"/>
      <c r="L74" s="94"/>
      <c r="M74" s="94"/>
      <c r="N74" s="95"/>
      <c r="O74" s="94"/>
    </row>
    <row r="75" spans="9:15" x14ac:dyDescent="0.25">
      <c r="I75" s="25" t="s">
        <v>22</v>
      </c>
      <c r="J75" s="25" t="s">
        <v>21</v>
      </c>
      <c r="K75" s="25" t="s">
        <v>27</v>
      </c>
      <c r="L75" s="25">
        <f>$D$10*2</f>
        <v>20</v>
      </c>
      <c r="M75" s="25">
        <f>VLOOKUP(J75,$B$4:$E$8,3,0)</f>
        <v>75</v>
      </c>
      <c r="N75" s="91">
        <f>L75*M75</f>
        <v>1500</v>
      </c>
      <c r="O75" s="25" t="s">
        <v>129</v>
      </c>
    </row>
    <row r="76" spans="9:15" x14ac:dyDescent="0.25">
      <c r="I76" s="25" t="s">
        <v>43</v>
      </c>
      <c r="J76" s="25" t="s">
        <v>15</v>
      </c>
      <c r="K76" s="25" t="s">
        <v>27</v>
      </c>
      <c r="L76" s="25">
        <f>$D$10*2</f>
        <v>20</v>
      </c>
      <c r="M76" s="25">
        <f>VLOOKUP(J76,$B$4:$E$8,3,0)</f>
        <v>65</v>
      </c>
      <c r="N76" s="91">
        <f>L76*M76</f>
        <v>1300</v>
      </c>
      <c r="O76" s="25" t="s">
        <v>129</v>
      </c>
    </row>
    <row r="77" spans="9:15" x14ac:dyDescent="0.25">
      <c r="I77" s="25" t="s">
        <v>46</v>
      </c>
      <c r="J77" s="25" t="s">
        <v>35</v>
      </c>
      <c r="K77" s="25" t="s">
        <v>27</v>
      </c>
      <c r="L77" s="25">
        <f>$D$10*3</f>
        <v>30</v>
      </c>
      <c r="M77" s="25">
        <f>VLOOKUP(J77,$B$15:$E$32,3,0)</f>
        <v>15</v>
      </c>
      <c r="N77" s="91">
        <f>L77*M77</f>
        <v>450</v>
      </c>
      <c r="O77" s="25"/>
    </row>
    <row r="78" spans="9:15" x14ac:dyDescent="0.25">
      <c r="I78" s="103" t="s">
        <v>132</v>
      </c>
      <c r="J78" s="25"/>
      <c r="K78" s="25"/>
      <c r="L78" s="25"/>
      <c r="M78" s="25"/>
      <c r="N78" s="93">
        <f>SUM(N75:N77)</f>
        <v>3250</v>
      </c>
      <c r="O78" s="25"/>
    </row>
    <row r="79" spans="9:15" x14ac:dyDescent="0.25">
      <c r="I79" s="94"/>
      <c r="J79" s="94"/>
      <c r="K79" s="94"/>
      <c r="L79" s="94"/>
      <c r="M79" s="94"/>
      <c r="N79" s="95"/>
      <c r="O79" s="94"/>
    </row>
    <row r="80" spans="9:15" x14ac:dyDescent="0.25">
      <c r="I80" s="25" t="s">
        <v>48</v>
      </c>
      <c r="J80" s="25" t="s">
        <v>54</v>
      </c>
      <c r="K80" s="25" t="s">
        <v>27</v>
      </c>
      <c r="L80" s="25">
        <f>$D$10*1</f>
        <v>10</v>
      </c>
      <c r="M80" s="25">
        <f>VLOOKUP(J80,$B$15:$E$32,3,0)</f>
        <v>160</v>
      </c>
      <c r="N80" s="91">
        <f t="shared" ref="N80:N84" si="20">L80*M80</f>
        <v>1600</v>
      </c>
      <c r="O80" s="25"/>
    </row>
    <row r="81" spans="9:15" x14ac:dyDescent="0.25">
      <c r="I81" s="25" t="s">
        <v>44</v>
      </c>
      <c r="J81" s="25" t="s">
        <v>39</v>
      </c>
      <c r="K81" s="25" t="s">
        <v>27</v>
      </c>
      <c r="L81" s="25">
        <f>$D$10*2</f>
        <v>20</v>
      </c>
      <c r="M81" s="25">
        <f>VLOOKUP(J81,$B$15:$E$32,3,0)</f>
        <v>150</v>
      </c>
      <c r="N81" s="91">
        <f t="shared" si="20"/>
        <v>3000</v>
      </c>
      <c r="O81" s="25"/>
    </row>
    <row r="82" spans="9:15" x14ac:dyDescent="0.25">
      <c r="I82" s="25" t="s">
        <v>49</v>
      </c>
      <c r="J82" s="25" t="s">
        <v>51</v>
      </c>
      <c r="K82" s="25" t="s">
        <v>27</v>
      </c>
      <c r="L82" s="25">
        <f>$D$10*1</f>
        <v>10</v>
      </c>
      <c r="M82" s="25">
        <f>VLOOKUP(J82,$B$15:$E$32,3,0)</f>
        <v>120</v>
      </c>
      <c r="N82" s="91">
        <f t="shared" si="20"/>
        <v>1200</v>
      </c>
      <c r="O82" s="25"/>
    </row>
    <row r="83" spans="9:15" x14ac:dyDescent="0.25">
      <c r="I83" s="25" t="s">
        <v>52</v>
      </c>
      <c r="J83" s="25" t="s">
        <v>50</v>
      </c>
      <c r="K83" s="25" t="s">
        <v>27</v>
      </c>
      <c r="L83" s="25">
        <f>$D$10*1</f>
        <v>10</v>
      </c>
      <c r="M83" s="25">
        <f>VLOOKUP(J83,$B$15:$E$32,3,0)</f>
        <v>130</v>
      </c>
      <c r="N83" s="91">
        <f t="shared" si="20"/>
        <v>1300</v>
      </c>
      <c r="O83" s="25"/>
    </row>
    <row r="84" spans="9:15" x14ac:dyDescent="0.25">
      <c r="I84" s="25" t="s">
        <v>43</v>
      </c>
      <c r="J84" s="25" t="s">
        <v>15</v>
      </c>
      <c r="K84" s="25" t="s">
        <v>27</v>
      </c>
      <c r="L84" s="25">
        <f>$D$10*1</f>
        <v>10</v>
      </c>
      <c r="M84" s="25">
        <f>VLOOKUP(J84,$B$4:$E$8,3,0)</f>
        <v>65</v>
      </c>
      <c r="N84" s="91">
        <f t="shared" si="20"/>
        <v>650</v>
      </c>
      <c r="O84" s="25" t="s">
        <v>176</v>
      </c>
    </row>
    <row r="85" spans="9:15" x14ac:dyDescent="0.25">
      <c r="I85" s="103" t="s">
        <v>166</v>
      </c>
      <c r="J85" s="25"/>
      <c r="K85" s="25"/>
      <c r="L85" s="25"/>
      <c r="M85" s="25"/>
      <c r="N85" s="93">
        <f>SUM(N80:N84)</f>
        <v>7750</v>
      </c>
      <c r="O85" s="25"/>
    </row>
    <row r="86" spans="9:15" x14ac:dyDescent="0.25">
      <c r="I86" s="94"/>
      <c r="J86" s="94"/>
      <c r="K86" s="94"/>
      <c r="L86" s="94"/>
      <c r="M86" s="94"/>
      <c r="N86" s="95"/>
      <c r="O86" s="94"/>
    </row>
    <row r="87" spans="9:15" x14ac:dyDescent="0.25">
      <c r="I87" s="25" t="s">
        <v>48</v>
      </c>
      <c r="J87" s="25" t="s">
        <v>54</v>
      </c>
      <c r="K87" s="25" t="s">
        <v>27</v>
      </c>
      <c r="L87" s="25">
        <f>$D$10*1</f>
        <v>10</v>
      </c>
      <c r="M87" s="25">
        <f>VLOOKUP(J87,$B$15:$E$32,3,0)</f>
        <v>160</v>
      </c>
      <c r="N87" s="91">
        <f t="shared" ref="N87:N92" si="21">L87*M87</f>
        <v>1600</v>
      </c>
      <c r="O87" s="25"/>
    </row>
    <row r="88" spans="9:15" x14ac:dyDescent="0.25">
      <c r="I88" s="25" t="s">
        <v>41</v>
      </c>
      <c r="J88" s="25" t="s">
        <v>55</v>
      </c>
      <c r="K88" s="25" t="s">
        <v>27</v>
      </c>
      <c r="L88" s="25">
        <f>$D$10*1</f>
        <v>10</v>
      </c>
      <c r="M88" s="25">
        <f>VLOOKUP(J88,$B$15:$E$32,3,0)/$D$10</f>
        <v>15</v>
      </c>
      <c r="N88" s="91">
        <f t="shared" si="21"/>
        <v>150</v>
      </c>
      <c r="O88" s="25"/>
    </row>
    <row r="89" spans="9:15" x14ac:dyDescent="0.25">
      <c r="I89" s="25" t="s">
        <v>44</v>
      </c>
      <c r="J89" s="25" t="s">
        <v>39</v>
      </c>
      <c r="K89" s="25" t="s">
        <v>27</v>
      </c>
      <c r="L89" s="25">
        <f>$D$10*2</f>
        <v>20</v>
      </c>
      <c r="M89" s="25">
        <f>VLOOKUP(J89,$B$15:$E$32,3,0)</f>
        <v>150</v>
      </c>
      <c r="N89" s="91">
        <f t="shared" si="21"/>
        <v>3000</v>
      </c>
      <c r="O89" s="25"/>
    </row>
    <row r="90" spans="9:15" x14ac:dyDescent="0.25">
      <c r="I90" s="25" t="s">
        <v>43</v>
      </c>
      <c r="J90" s="25" t="s">
        <v>15</v>
      </c>
      <c r="K90" s="25" t="s">
        <v>27</v>
      </c>
      <c r="L90" s="25">
        <f>$D$10*2</f>
        <v>20</v>
      </c>
      <c r="M90" s="25">
        <f>VLOOKUP(J90,$B$4:$E$8,3,0)</f>
        <v>65</v>
      </c>
      <c r="N90" s="91">
        <f t="shared" si="21"/>
        <v>1300</v>
      </c>
      <c r="O90" s="25"/>
    </row>
    <row r="91" spans="9:15" x14ac:dyDescent="0.25">
      <c r="I91" s="25" t="s">
        <v>49</v>
      </c>
      <c r="J91" s="25" t="s">
        <v>51</v>
      </c>
      <c r="K91" s="25" t="s">
        <v>27</v>
      </c>
      <c r="L91" s="25">
        <f>$D$10*1</f>
        <v>10</v>
      </c>
      <c r="M91" s="25">
        <f>VLOOKUP(J91,$B$15:$E$32,3,0)</f>
        <v>120</v>
      </c>
      <c r="N91" s="91">
        <f t="shared" si="21"/>
        <v>1200</v>
      </c>
      <c r="O91" s="25"/>
    </row>
    <row r="92" spans="9:15" x14ac:dyDescent="0.25">
      <c r="I92" s="25" t="s">
        <v>52</v>
      </c>
      <c r="J92" s="25" t="s">
        <v>50</v>
      </c>
      <c r="K92" s="25" t="s">
        <v>27</v>
      </c>
      <c r="L92" s="25">
        <f>$D$10*1</f>
        <v>10</v>
      </c>
      <c r="M92" s="25">
        <f>VLOOKUP(J92,$B$15:$E$32,3,0)</f>
        <v>130</v>
      </c>
      <c r="N92" s="91">
        <f t="shared" si="21"/>
        <v>1300</v>
      </c>
      <c r="O92" s="25"/>
    </row>
    <row r="93" spans="9:15" x14ac:dyDescent="0.25">
      <c r="I93" s="103" t="s">
        <v>168</v>
      </c>
      <c r="J93" s="25"/>
      <c r="K93" s="25"/>
      <c r="L93" s="25"/>
      <c r="M93" s="25"/>
      <c r="N93" s="93">
        <f>SUM(N87:N92)</f>
        <v>8550</v>
      </c>
      <c r="O93" s="25"/>
    </row>
    <row r="94" spans="9:15" x14ac:dyDescent="0.25">
      <c r="I94" s="94"/>
      <c r="J94" s="94"/>
      <c r="K94" s="94"/>
      <c r="L94" s="94"/>
      <c r="M94" s="94"/>
      <c r="N94" s="95"/>
      <c r="O94" s="94"/>
    </row>
    <row r="95" spans="9:15" x14ac:dyDescent="0.25">
      <c r="I95" s="25" t="s">
        <v>108</v>
      </c>
      <c r="J95" s="25" t="s">
        <v>143</v>
      </c>
      <c r="K95" s="25" t="s">
        <v>27</v>
      </c>
      <c r="L95" s="25">
        <f t="shared" ref="L95:L96" si="22">$D$10*1</f>
        <v>10</v>
      </c>
      <c r="M95" s="25">
        <f>VLOOKUP(J95,$B$15:$E$32,3,0)</f>
        <v>750</v>
      </c>
      <c r="N95" s="91">
        <f t="shared" ref="N95:N100" si="23">L95*M95</f>
        <v>7500</v>
      </c>
      <c r="O95" s="25"/>
    </row>
    <row r="96" spans="9:15" x14ac:dyDescent="0.25">
      <c r="I96" s="25" t="s">
        <v>65</v>
      </c>
      <c r="J96" s="25" t="s">
        <v>151</v>
      </c>
      <c r="K96" s="25" t="s">
        <v>38</v>
      </c>
      <c r="L96" s="25">
        <f t="shared" si="22"/>
        <v>10</v>
      </c>
      <c r="M96" s="25">
        <f>VLOOKUP(J96,$B$15:$E$32,3,0)/$D$10</f>
        <v>48</v>
      </c>
      <c r="N96" s="91">
        <f t="shared" si="23"/>
        <v>480</v>
      </c>
      <c r="O96" s="25"/>
    </row>
    <row r="97" spans="9:15" x14ac:dyDescent="0.25">
      <c r="I97" s="25" t="s">
        <v>64</v>
      </c>
      <c r="J97" s="25" t="s">
        <v>21</v>
      </c>
      <c r="K97" s="25" t="s">
        <v>27</v>
      </c>
      <c r="L97" s="25">
        <f>$D$10*4</f>
        <v>40</v>
      </c>
      <c r="M97" s="25">
        <f t="shared" ref="M97:M98" si="24">VLOOKUP(J97,$B$4:$E$8,3,0)</f>
        <v>75</v>
      </c>
      <c r="N97" s="91">
        <f t="shared" si="23"/>
        <v>3000</v>
      </c>
      <c r="O97" s="25" t="s">
        <v>152</v>
      </c>
    </row>
    <row r="98" spans="9:15" x14ac:dyDescent="0.25">
      <c r="I98" s="25" t="s">
        <v>43</v>
      </c>
      <c r="J98" s="25" t="s">
        <v>15</v>
      </c>
      <c r="K98" s="25" t="s">
        <v>27</v>
      </c>
      <c r="L98" s="25">
        <f>$D$10*2</f>
        <v>20</v>
      </c>
      <c r="M98" s="25">
        <f t="shared" si="24"/>
        <v>65</v>
      </c>
      <c r="N98" s="91">
        <f t="shared" si="23"/>
        <v>1300</v>
      </c>
      <c r="O98" s="25" t="s">
        <v>129</v>
      </c>
    </row>
    <row r="99" spans="9:15" x14ac:dyDescent="0.25">
      <c r="I99" s="25" t="s">
        <v>169</v>
      </c>
      <c r="J99" s="25" t="s">
        <v>169</v>
      </c>
      <c r="K99" s="25" t="s">
        <v>27</v>
      </c>
      <c r="L99" s="25">
        <f>$D$10*3</f>
        <v>30</v>
      </c>
      <c r="M99" s="25">
        <f>VLOOKUP(J99,$B$15:$E$32,3,0)</f>
        <v>12</v>
      </c>
      <c r="N99" s="91">
        <f t="shared" si="23"/>
        <v>360</v>
      </c>
      <c r="O99" s="25"/>
    </row>
    <row r="100" spans="9:15" x14ac:dyDescent="0.25">
      <c r="I100" s="25" t="s">
        <v>35</v>
      </c>
      <c r="J100" s="25" t="s">
        <v>35</v>
      </c>
      <c r="K100" s="25" t="s">
        <v>27</v>
      </c>
      <c r="L100" s="25">
        <f>$D$10*3</f>
        <v>30</v>
      </c>
      <c r="M100" s="25">
        <f>VLOOKUP(J100,$B$15:$E$32,3,0)</f>
        <v>15</v>
      </c>
      <c r="N100" s="91">
        <f t="shared" si="23"/>
        <v>450</v>
      </c>
      <c r="O100" s="25"/>
    </row>
    <row r="101" spans="9:15" x14ac:dyDescent="0.25">
      <c r="I101" s="103" t="s">
        <v>170</v>
      </c>
      <c r="J101" s="25"/>
      <c r="K101" s="25"/>
      <c r="L101" s="25"/>
      <c r="M101" s="25"/>
      <c r="N101" s="93">
        <f>SUM(N95:N100)</f>
        <v>13090</v>
      </c>
      <c r="O101" s="25"/>
    </row>
    <row r="102" spans="9:15" x14ac:dyDescent="0.25">
      <c r="I102" s="94"/>
      <c r="J102" s="94"/>
      <c r="K102" s="94"/>
      <c r="L102" s="94"/>
      <c r="M102" s="94"/>
      <c r="N102" s="95"/>
      <c r="O102" s="94"/>
    </row>
    <row r="103" spans="9:15" x14ac:dyDescent="0.25">
      <c r="I103" s="25" t="s">
        <v>355</v>
      </c>
      <c r="J103" s="25"/>
      <c r="K103" s="25" t="s">
        <v>5</v>
      </c>
      <c r="L103" s="104">
        <f>SQRT('INPUT-OUTPUT'!E19)*2+'INPUT-OUTPUT'!E5*100</f>
        <v>8400</v>
      </c>
      <c r="M103" s="25">
        <v>7.5</v>
      </c>
      <c r="N103" s="91">
        <f>M103*L103</f>
        <v>63000</v>
      </c>
      <c r="O103" s="25" t="s">
        <v>357</v>
      </c>
    </row>
    <row r="104" spans="9:15" x14ac:dyDescent="0.25">
      <c r="I104" s="105" t="str">
        <f>ESTIMATE!B45</f>
        <v>Establishment of Envrionmental Protection</v>
      </c>
      <c r="J104" s="25"/>
      <c r="K104" s="25"/>
      <c r="L104" s="25"/>
      <c r="M104" s="25"/>
      <c r="N104" s="93">
        <f>SUM(N103)</f>
        <v>63000</v>
      </c>
      <c r="O104" s="25" t="s">
        <v>356</v>
      </c>
    </row>
    <row r="105" spans="9:15" x14ac:dyDescent="0.25">
      <c r="I105" s="94"/>
      <c r="J105" s="94"/>
      <c r="K105" s="94"/>
      <c r="L105" s="94"/>
      <c r="M105" s="94"/>
      <c r="N105" s="95"/>
      <c r="O105" s="94"/>
    </row>
  </sheetData>
  <sheetProtection algorithmName="SHA-512" hashValue="cMvX8/CnwXPwh++yTGrEhdP/cQ2TLjgj8hqWCWpRb6ciyDWKkL8NPe+XrTtX6rzAc9UcMkvFpMSQDvtrFNNJZw==" saltValue="aQkSlOYVEx7mZ8gLVNKraw==" spinCount="100000" sheet="1" selectLockedCells="1"/>
  <mergeCells count="7">
    <mergeCell ref="O36:O37"/>
    <mergeCell ref="I2:O2"/>
    <mergeCell ref="B33:D33"/>
    <mergeCell ref="B46:D46"/>
    <mergeCell ref="B2:E2"/>
    <mergeCell ref="C4:C8"/>
    <mergeCell ref="B13:E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3082e1b-c201-461b-b5a1-87a0a3db5f32" xsi:nil="true"/>
    <lcf76f155ced4ddcb4097134ff3c332f xmlns="72ec9ffe-0460-410c-91ee-3a737a4020a1">
      <Terms xmlns="http://schemas.microsoft.com/office/infopath/2007/PartnerControls"/>
    </lcf76f155ced4ddcb4097134ff3c332f>
    <SharedWithUsers xmlns="83082e1b-c201-461b-b5a1-87a0a3db5f32">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AAC6BC923D16C40B5105B04462B2D92" ma:contentTypeVersion="20" ma:contentTypeDescription="Create a new document." ma:contentTypeScope="" ma:versionID="aef84b7e4a117f05457dcf680157e5a5">
  <xsd:schema xmlns:xsd="http://www.w3.org/2001/XMLSchema" xmlns:xs="http://www.w3.org/2001/XMLSchema" xmlns:p="http://schemas.microsoft.com/office/2006/metadata/properties" xmlns:ns2="72ec9ffe-0460-410c-91ee-3a737a4020a1" xmlns:ns3="83082e1b-c201-461b-b5a1-87a0a3db5f32" targetNamespace="http://schemas.microsoft.com/office/2006/metadata/properties" ma:root="true" ma:fieldsID="f5b5ca0db3fc5ed72ce146ac12e01ea1" ns2:_="" ns3:_="">
    <xsd:import namespace="72ec9ffe-0460-410c-91ee-3a737a4020a1"/>
    <xsd:import namespace="83082e1b-c201-461b-b5a1-87a0a3db5f3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TaxCatchAll" minOccurs="0"/>
                <xsd:element ref="ns2:lcf76f155ced4ddcb4097134ff3c332f"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ec9ffe-0460-410c-91ee-3a737a4020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82e1b-c201-461b-b5a1-87a0a3db5f3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2d3114b-b4fc-4bfc-bb7e-d114c31a7184}" ma:internalName="TaxCatchAll" ma:showField="CatchAllData" ma:web="83082e1b-c201-461b-b5a1-87a0a3db5f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CFDAD2-B0BC-4854-854B-38E9BBFE6D62}">
  <ds:schemaRefs>
    <ds:schemaRef ds:uri="http://schemas.microsoft.com/office/2006/metadata/properties"/>
    <ds:schemaRef ds:uri="http://schemas.microsoft.com/office/infopath/2007/PartnerControls"/>
    <ds:schemaRef ds:uri="http://schemas.microsoft.com/sharepoint/v3"/>
    <ds:schemaRef ds:uri="5f09b715-9c8c-4019-a5ba-ddee52b25758"/>
    <ds:schemaRef ds:uri="67bc3c54-1dd9-4f66-a456-139d6b3611c9"/>
  </ds:schemaRefs>
</ds:datastoreItem>
</file>

<file path=customXml/itemProps2.xml><?xml version="1.0" encoding="utf-8"?>
<ds:datastoreItem xmlns:ds="http://schemas.openxmlformats.org/officeDocument/2006/customXml" ds:itemID="{1C3D05C9-3B20-426C-9B0A-7721B61CDA8F}">
  <ds:schemaRefs>
    <ds:schemaRef ds:uri="http://schemas.microsoft.com/sharepoint/v3/contenttype/forms"/>
  </ds:schemaRefs>
</ds:datastoreItem>
</file>

<file path=customXml/itemProps3.xml><?xml version="1.0" encoding="utf-8"?>
<ds:datastoreItem xmlns:ds="http://schemas.openxmlformats.org/officeDocument/2006/customXml" ds:itemID="{1730DEDD-FF4C-4046-BCF1-BC5B59064A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HOW TO USE</vt:lpstr>
      <vt:lpstr>INPUT-OUTPUT</vt:lpstr>
      <vt:lpstr>ESTIMATE</vt:lpstr>
      <vt:lpstr>CREWS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Wind Energy Decommissioning Calculator</dc:title>
  <dc:subject>Renewable energy</dc:subject>
  <dc:creator>NSW Department of Planning, Housing and Infrastructure</dc:creator>
  <dcterms:created xsi:type="dcterms:W3CDTF">2023-04-05T23:12:32Z</dcterms:created>
  <dcterms:modified xsi:type="dcterms:W3CDTF">2024-11-06T04:16:01Z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0x010100BAAC6BC923D16C40B5105B04462B2D92</vt:lpwstr>
  </property>
  <property fmtid="{D5CDD505-2E9C-101B-9397-08002B2CF9AE}" pid="3" name="MediaServiceImageTags">
    <vt:lpwstr/>
  </property>
</Properties>
</file>